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he worked example" sheetId="1" state="visible" r:id="rId1"/>
    <sheet name="Your data" sheetId="2" state="visible" r:id="rId2"/>
    <sheet name="What the simulation found" sheetId="3" state="visible" r:id="rId3"/>
  </sheets>
  <definedNames/>
  <calcPr calcId="124519" fullCalcOnLoad="1"/>
</workbook>
</file>

<file path=xl/styles.xml><?xml version="1.0" encoding="utf-8"?>
<styleSheet xmlns="http://schemas.openxmlformats.org/spreadsheetml/2006/main">
  <numFmts count="6">
    <numFmt numFmtId="164" formatCode="0.000"/>
    <numFmt numFmtId="165" formatCode="0.000%"/>
    <numFmt numFmtId="166" formatCode="0.0"/>
    <numFmt numFmtId="167" formatCode="0.0%"/>
    <numFmt numFmtId="168" formatCode="0.000000"/>
    <numFmt numFmtId="169" formatCode="0.0000"/>
  </numFmts>
  <fonts count="7">
    <font>
      <name val="Calibri"/>
      <family val="2"/>
      <color theme="1"/>
      <sz val="11"/>
      <scheme val="minor"/>
    </font>
    <font>
      <name val="Calibri"/>
      <b val="1"/>
      <color rgb="FF1F2124"/>
      <sz val="14"/>
    </font>
    <font>
      <name val="Calibri"/>
      <i val="1"/>
      <color rgb="FF565C66"/>
      <sz val="9"/>
    </font>
    <font>
      <name val="Calibri"/>
      <b val="1"/>
      <color rgb="FF1F2124"/>
      <sz val="10"/>
    </font>
    <font>
      <name val="Calibri"/>
      <color rgb="FF1F2124"/>
      <sz val="10"/>
    </font>
    <font>
      <name val="Calibri"/>
      <b val="1"/>
      <color rgb="FF0F6E56"/>
      <sz val="11"/>
    </font>
    <font>
      <name val="Calibri"/>
      <b val="1"/>
      <color rgb="FFB06A2C"/>
      <sz val="12"/>
    </font>
  </fonts>
  <fills count="4">
    <fill>
      <patternFill/>
    </fill>
    <fill>
      <patternFill patternType="gray125"/>
    </fill>
    <fill>
      <patternFill patternType="solid">
        <fgColor rgb="FFF3F0E8"/>
      </patternFill>
    </fill>
    <fill>
      <patternFill patternType="solid">
        <fgColor rgb="FFFFF6E0"/>
      </patternFill>
    </fill>
  </fills>
  <borders count="2">
    <border>
      <left/>
      <right/>
      <top/>
      <bottom/>
      <diagonal/>
    </border>
    <border>
      <left style="thin">
        <color rgb="FFD8D3C8"/>
      </left>
      <right style="thin">
        <color rgb="FFD8D3C8"/>
      </right>
      <top style="thin">
        <color rgb="FFD8D3C8"/>
      </top>
      <bottom style="thin">
        <color rgb="FFD8D3C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2" fillId="0" borderId="0" pivotButton="0" quotePrefix="0" xfId="0"/>
    <xf numFmtId="0" fontId="5" fillId="0" borderId="0" pivotButton="0" quotePrefix="0" xfId="0"/>
    <xf numFmtId="0" fontId="3" fillId="0" borderId="0" pivotButton="0" quotePrefix="0" xfId="0"/>
    <xf numFmtId="0" fontId="4" fillId="0" borderId="0" pivotButton="0" quotePrefix="0" xfId="0"/>
    <xf numFmtId="1" fontId="3" fillId="2" borderId="1" pivotButton="0" quotePrefix="0" xfId="0"/>
    <xf numFmtId="3" fontId="4" fillId="0" borderId="1" pivotButton="0" quotePrefix="0" xfId="0"/>
    <xf numFmtId="0" fontId="4" fillId="0" borderId="1" pivotButton="0" quotePrefix="0" xfId="0"/>
    <xf numFmtId="164" fontId="4" fillId="0" borderId="1" pivotButton="0" quotePrefix="0" xfId="0"/>
    <xf numFmtId="165" fontId="4" fillId="0" borderId="1" pivotButton="0" quotePrefix="0" xfId="0"/>
    <xf numFmtId="164" fontId="0" fillId="0" borderId="0" pivotButton="0" quotePrefix="0" xfId="0"/>
    <xf numFmtId="165" fontId="0" fillId="0" borderId="0" pivotButton="0" quotePrefix="0" xfId="0"/>
    <xf numFmtId="9" fontId="3" fillId="2" borderId="1" pivotButton="0" quotePrefix="0" xfId="0"/>
    <xf numFmtId="2" fontId="3" fillId="2" borderId="1" pivotButton="0" quotePrefix="0" xfId="0"/>
    <xf numFmtId="166" fontId="3" fillId="2" borderId="1" pivotButton="0" quotePrefix="0" xfId="0"/>
    <xf numFmtId="164" fontId="3" fillId="0" borderId="0" pivotButton="0" quotePrefix="0" xfId="0"/>
    <xf numFmtId="11" fontId="4" fillId="0" borderId="0" pivotButton="0" quotePrefix="0" xfId="0"/>
    <xf numFmtId="1" fontId="3" fillId="0" borderId="1" pivotButton="0" quotePrefix="0" xfId="0"/>
    <xf numFmtId="164" fontId="3" fillId="0" borderId="1" pivotButton="0" quotePrefix="0" xfId="0"/>
    <xf numFmtId="11" fontId="3" fillId="0" borderId="1" pivotButton="0" quotePrefix="0" xfId="0"/>
    <xf numFmtId="165" fontId="3" fillId="0" borderId="1" pivotButton="0" quotePrefix="0" xfId="0"/>
    <xf numFmtId="2" fontId="3" fillId="0" borderId="1" pivotButton="0" quotePrefix="0" xfId="0"/>
    <xf numFmtId="0" fontId="3" fillId="0" borderId="1" pivotButton="0" quotePrefix="0" xfId="0"/>
    <xf numFmtId="167" fontId="3" fillId="0" borderId="1" pivotButton="0" quotePrefix="0" xfId="0"/>
    <xf numFmtId="3" fontId="3" fillId="0" borderId="1" pivotButton="0" quotePrefix="0" xfId="0"/>
    <xf numFmtId="168" fontId="3" fillId="0" borderId="1" pivotButton="0" quotePrefix="0" xfId="0"/>
    <xf numFmtId="169" fontId="3" fillId="0" borderId="1" pivotButton="0" quotePrefix="0" xfId="0"/>
    <xf numFmtId="169" fontId="4" fillId="0" borderId="0" pivotButton="0" quotePrefix="0" xfId="0"/>
    <xf numFmtId="3" fontId="3" fillId="2" borderId="1" pivotButton="0" quotePrefix="0" xfId="0"/>
    <xf numFmtId="0" fontId="6" fillId="0" borderId="0" applyAlignment="1" pivotButton="0" quotePrefix="0" xfId="0">
      <alignment vertical="top" wrapText="1"/>
    </xf>
    <xf numFmtId="3" fontId="4" fillId="3" borderId="1" pivotButton="0" quotePrefix="0" xfId="0"/>
    <xf numFmtId="0" fontId="4" fillId="3" borderId="1" pivotButton="0" quotePrefix="0" xfId="0"/>
    <xf numFmtId="0" fontId="4" fillId="0" borderId="0" applyAlignment="1" pivotButton="0" quotePrefix="0" xfId="0">
      <alignment vertical="top" wrapText="1"/>
    </xf>
    <xf numFmtId="3"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6E56"/>
    <outlinePr summaryBelow="1" summaryRight="1"/>
    <pageSetUpPr/>
  </sheetPr>
  <dimension ref="A1:AB71"/>
  <sheetViews>
    <sheetView showGridLines="0" workbookViewId="0">
      <selection activeCell="A1" sqref="A1"/>
    </sheetView>
  </sheetViews>
  <sheetFormatPr baseColWidth="8" defaultRowHeight="15"/>
  <cols>
    <col width="8" customWidth="1" min="1" max="1"/>
    <col width="13" customWidth="1" min="2" max="2"/>
    <col width="10" customWidth="1" min="3" max="3"/>
    <col width="12" customWidth="1" min="4" max="4"/>
    <col width="11" customWidth="1" min="5" max="5"/>
    <col width="14" customWidth="1" min="6" max="6"/>
    <col width="3" customWidth="1" min="7" max="7"/>
    <col width="44" customWidth="1" min="8" max="8"/>
    <col width="16"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hidden="1" width="13" customWidth="1" min="27" max="27"/>
    <col hidden="1" width="13" customWidth="1" min="28" max="28"/>
  </cols>
  <sheetData>
    <row r="1">
      <c r="A1" s="1" t="inlineStr">
        <is>
          <t>Is my ad wearing out?</t>
        </is>
      </c>
    </row>
    <row r="2" ht="58" customHeight="1">
      <c r="A2" s="2" t="inlineStr">
        <is>
          <t>Synthetic worked example - the high-volume creative the article's ladder starts with. Every cell right of the data is a live formula; change a number and the verdict moves. SIMPLIFIED: the bend is fitted on a coarse 10-by-12 grid with no refinement and no ranges, where the notebook and the widget search 40-by-60 and refine, so the onset and decay here land near theirs, not on them. The false-onset rates in the article come from thousands of simulated creatives, which a sheet cannot run - see the 'What the simulation found' tab.</t>
        </is>
      </c>
    </row>
    <row r="4">
      <c r="A4" s="3" t="inlineStr">
        <is>
          <t>One row per day. Exposure is impressions per person reached, cumulative.</t>
        </is>
      </c>
      <c r="H4" s="4" t="inlineStr">
        <is>
          <t>The method's settings</t>
        </is>
      </c>
    </row>
    <row r="5">
      <c r="A5" s="5" t="inlineStr">
        <is>
          <t>Day</t>
        </is>
      </c>
      <c r="B5" s="5" t="inlineStr">
        <is>
          <t>Impressions</t>
        </is>
      </c>
      <c r="C5" s="5" t="inlineStr">
        <is>
          <t>Clicks</t>
        </is>
      </c>
      <c r="D5" s="5" t="inlineStr">
        <is>
          <t>Exposure</t>
        </is>
      </c>
      <c r="E5" s="5" t="inlineStr">
        <is>
          <t>Rate</t>
        </is>
      </c>
      <c r="F5" s="5" t="inlineStr">
        <is>
          <t>Reach to date</t>
        </is>
      </c>
      <c r="H5" s="6" t="inlineStr">
        <is>
          <t>Points needed before a bend</t>
        </is>
      </c>
      <c r="I5" s="7" t="n">
        <v>3</v>
      </c>
      <c r="AA5" s="3" t="inlineStr">
        <is>
          <t>exposure, for the fits</t>
        </is>
      </c>
      <c r="AB5" s="3" t="inlineStr">
        <is>
          <t>rate, for the fits</t>
        </is>
      </c>
    </row>
    <row r="6">
      <c r="A6" s="6" t="n">
        <v>1</v>
      </c>
      <c r="B6" s="8" t="n">
        <v>12059</v>
      </c>
      <c r="C6" s="9" t="n">
        <v>219</v>
      </c>
      <c r="D6" s="10" t="n">
        <v>1.029967</v>
      </c>
      <c r="E6" s="11">
        <f>IF(B6&gt;0,C6/B6,"")</f>
        <v/>
      </c>
      <c r="F6" s="8" t="n"/>
      <c r="H6" s="6" t="inlineStr">
        <is>
          <t>Points needed after a bend</t>
        </is>
      </c>
      <c r="I6" s="7" t="n">
        <v>5</v>
      </c>
      <c r="AA6" s="12">
        <f>IF(ISNUMBER(D6),D6,0)</f>
        <v/>
      </c>
      <c r="AB6" s="13">
        <f>IF(ISNUMBER(E6),E6,0)</f>
        <v/>
      </c>
    </row>
    <row r="7">
      <c r="A7" s="6" t="n">
        <v>2</v>
      </c>
      <c r="B7" s="8" t="n">
        <v>12071</v>
      </c>
      <c r="C7" s="9" t="n">
        <v>200</v>
      </c>
      <c r="D7" s="10" t="n">
        <v>1.100846</v>
      </c>
      <c r="E7" s="11">
        <f>IF(B7&gt;0,C7/B7,"")</f>
        <v/>
      </c>
      <c r="F7" s="8" t="n"/>
      <c r="H7" s="6" t="inlineStr">
        <is>
          <t>Decaying side must span this share of the exposure range</t>
        </is>
      </c>
      <c r="I7" s="14" t="n">
        <v>0.15</v>
      </c>
      <c r="AA7" s="12">
        <f>IF(ISNUMBER(D7),D7,0)</f>
        <v/>
      </c>
      <c r="AB7" s="13">
        <f>IF(ISNUMBER(E7),E7,0)</f>
        <v/>
      </c>
    </row>
    <row r="8">
      <c r="A8" s="6" t="n">
        <v>3</v>
      </c>
      <c r="B8" s="8" t="n">
        <v>12136</v>
      </c>
      <c r="C8" s="9" t="n">
        <v>216</v>
      </c>
      <c r="D8" s="10" t="n">
        <v>1.207258</v>
      </c>
      <c r="E8" s="11">
        <f>IF(B8&gt;0,C8/B8,"")</f>
        <v/>
      </c>
      <c r="F8" s="8" t="n"/>
      <c r="H8" s="6" t="inlineStr">
        <is>
          <t>Exposure must have moved by at least (impressions per person)</t>
        </is>
      </c>
      <c r="I8" s="15" t="n">
        <v>0.5</v>
      </c>
      <c r="AA8" s="12">
        <f>IF(ISNUMBER(D8),D8,0)</f>
        <v/>
      </c>
      <c r="AB8" s="13">
        <f>IF(ISNUMBER(E8),E8,0)</f>
        <v/>
      </c>
    </row>
    <row r="9">
      <c r="A9" s="6" t="n">
        <v>4</v>
      </c>
      <c r="B9" s="8" t="n">
        <v>12045</v>
      </c>
      <c r="C9" s="9" t="n">
        <v>201</v>
      </c>
      <c r="D9" s="10" t="n">
        <v>1.258462</v>
      </c>
      <c r="E9" s="11">
        <f>IF(B9&gt;0,C9/B9,"")</f>
        <v/>
      </c>
      <c r="F9" s="8" t="n"/>
      <c r="H9" s="6" t="inlineStr">
        <is>
          <t>A bend must beat a flat line by this much (information criterion)</t>
        </is>
      </c>
      <c r="I9" s="16" t="n">
        <v>6</v>
      </c>
      <c r="AA9" s="12">
        <f>IF(ISNUMBER(D9),D9,0)</f>
        <v/>
      </c>
      <c r="AB9" s="13">
        <f>IF(ISNUMBER(E9),E9,0)</f>
        <v/>
      </c>
    </row>
    <row r="10">
      <c r="A10" s="6" t="n">
        <v>5</v>
      </c>
      <c r="B10" s="8" t="n">
        <v>12018</v>
      </c>
      <c r="C10" s="9" t="n">
        <v>228</v>
      </c>
      <c r="D10" s="10" t="n">
        <v>1.326757</v>
      </c>
      <c r="E10" s="11">
        <f>IF(B10&gt;0,C10/B10,"")</f>
        <v/>
      </c>
      <c r="F10" s="8" t="n"/>
      <c r="AA10" s="12">
        <f>IF(ISNUMBER(D10),D10,0)</f>
        <v/>
      </c>
      <c r="AB10" s="13">
        <f>IF(ISNUMBER(E10),E10,0)</f>
        <v/>
      </c>
    </row>
    <row r="11">
      <c r="A11" s="6" t="n">
        <v>6</v>
      </c>
      <c r="B11" s="8" t="n">
        <v>12081</v>
      </c>
      <c r="C11" s="9" t="n">
        <v>224</v>
      </c>
      <c r="D11" s="10" t="n">
        <v>1.353589</v>
      </c>
      <c r="E11" s="11">
        <f>IF(B11&gt;0,C11/B11,"")</f>
        <v/>
      </c>
      <c r="F11" s="8" t="n"/>
      <c r="AA11" s="12">
        <f>IF(ISNUMBER(D11),D11,0)</f>
        <v/>
      </c>
      <c r="AB11" s="13">
        <f>IF(ISNUMBER(E11),E11,0)</f>
        <v/>
      </c>
    </row>
    <row r="12">
      <c r="A12" s="6" t="n">
        <v>7</v>
      </c>
      <c r="B12" s="8" t="n">
        <v>12094</v>
      </c>
      <c r="C12" s="9" t="n">
        <v>186</v>
      </c>
      <c r="D12" s="10" t="n">
        <v>1.375937</v>
      </c>
      <c r="E12" s="11">
        <f>IF(B12&gt;0,C12/B12,"")</f>
        <v/>
      </c>
      <c r="F12" s="8" t="n"/>
      <c r="H12" s="4" t="inlineStr">
        <is>
          <t>The bend, fitted on a coarse grid (SIMPLIFIED)</t>
        </is>
      </c>
      <c r="AA12" s="12">
        <f>IF(ISNUMBER(D12),D12,0)</f>
        <v/>
      </c>
      <c r="AB12" s="13">
        <f>IF(ISNUMBER(E12),E12,0)</f>
        <v/>
      </c>
    </row>
    <row r="13" ht="44" customHeight="1">
      <c r="A13" s="6" t="n">
        <v>8</v>
      </c>
      <c r="B13" s="8" t="n">
        <v>11970</v>
      </c>
      <c r="C13" s="9" t="n">
        <v>232</v>
      </c>
      <c r="D13" s="10" t="n">
        <v>1.43997</v>
      </c>
      <c r="E13" s="11">
        <f>IF(B13&gt;0,C13/B13,"")</f>
        <v/>
      </c>
      <c r="F13" s="8" t="n"/>
      <c r="H13" s="2" t="inlineStr">
        <is>
          <t>Rows: candidate onsets across the middle of the observed exposure range. Columns: candidate decays per impression per person. Each cell is the weighted residual sum of squares with the level solved in closed form; blank where the candidate has too few points on a side or too short a tail. The notebook searches 40 onsets by 60 decays and refines; this sheet does 10 by 12.</t>
        </is>
      </c>
      <c r="AA13" s="12">
        <f>IF(ISNUMBER(D13),D13,0)</f>
        <v/>
      </c>
      <c r="AB13" s="13">
        <f>IF(ISNUMBER(E13),E13,0)</f>
        <v/>
      </c>
    </row>
    <row r="14">
      <c r="A14" s="6" t="n">
        <v>9</v>
      </c>
      <c r="B14" s="8" t="n">
        <v>11711</v>
      </c>
      <c r="C14" s="9" t="n">
        <v>206</v>
      </c>
      <c r="D14" s="10" t="n">
        <v>1.558637</v>
      </c>
      <c r="E14" s="11">
        <f>IF(B14&gt;0,C14/B14,"")</f>
        <v/>
      </c>
      <c r="F14" s="8" t="n"/>
      <c r="AA14" s="12">
        <f>IF(ISNUMBER(D14),D14,0)</f>
        <v/>
      </c>
      <c r="AB14" s="13">
        <f>IF(ISNUMBER(E14),E14,0)</f>
        <v/>
      </c>
    </row>
    <row r="15">
      <c r="A15" s="6" t="n">
        <v>10</v>
      </c>
      <c r="B15" s="8" t="n">
        <v>11864</v>
      </c>
      <c r="C15" s="9" t="n">
        <v>208</v>
      </c>
      <c r="D15" s="10" t="n">
        <v>1.712886</v>
      </c>
      <c r="E15" s="11">
        <f>IF(B15&gt;0,C15/B15,"")</f>
        <v/>
      </c>
      <c r="F15" s="8" t="n"/>
      <c r="H15" s="5" t="inlineStr">
        <is>
          <t>onset  \  decay</t>
        </is>
      </c>
      <c r="J15" s="17" t="n">
        <v>0.01</v>
      </c>
      <c r="K15" s="17" t="n">
        <v>0.0176</v>
      </c>
      <c r="L15" s="17" t="n">
        <v>0.031</v>
      </c>
      <c r="M15" s="17" t="n">
        <v>0.0545</v>
      </c>
      <c r="N15" s="17" t="n">
        <v>0.0958</v>
      </c>
      <c r="O15" s="17" t="n">
        <v>0.1686</v>
      </c>
      <c r="P15" s="17" t="n">
        <v>0.2966</v>
      </c>
      <c r="Q15" s="17" t="n">
        <v>0.5218</v>
      </c>
      <c r="R15" s="17" t="n">
        <v>0.9181</v>
      </c>
      <c r="S15" s="17" t="n">
        <v>1.6153</v>
      </c>
      <c r="T15" s="17" t="n">
        <v>2.8419</v>
      </c>
      <c r="U15" s="17" t="n">
        <v>5</v>
      </c>
      <c r="V15" s="5" t="inlineStr">
        <is>
          <t>row best</t>
        </is>
      </c>
      <c r="W15" s="5" t="inlineStr">
        <is>
          <t>at decay #</t>
        </is>
      </c>
      <c r="AA15" s="12">
        <f>IF(ISNUMBER(D15),D15,0)</f>
        <v/>
      </c>
      <c r="AB15" s="13">
        <f>IF(ISNUMBER(E15),E15,0)</f>
        <v/>
      </c>
    </row>
    <row r="16">
      <c r="A16" s="6" t="n">
        <v>11</v>
      </c>
      <c r="B16" s="8" t="n">
        <v>12026</v>
      </c>
      <c r="C16" s="9" t="n">
        <v>210</v>
      </c>
      <c r="D16" s="10" t="n">
        <v>1.750688</v>
      </c>
      <c r="E16" s="11">
        <f>IF(B16&gt;0,C16/B16,"")</f>
        <v/>
      </c>
      <c r="F16" s="8" t="n"/>
      <c r="I16" s="17">
        <f>MIN($D$6:$D$65)+(MAX($D$6:$D$65)-MIN($D$6:$D$65))*0.1000</f>
        <v/>
      </c>
      <c r="J16" s="18">
        <f>IF(OR(COUNTIF($D$6:$D$65,"&lt;"&amp;$I16)&lt;$I$5,COUNTIF($D$6:$D$65,"&gt;="&amp;$I16)&lt;$I$6,(MAX($D$6:$D$65)-$I16)/(MAX($D$6:$D$65)-MIN($D$6:$D$65))&lt;$I$7),"",SUMPRODUCT($B$6:$B$65*(((SUMPRODUCT($B$6:$B$65*$AB$6:$AB$65*EXP(-J$15*((($AA$6:$AA$65-$I16)&gt;0)*($AA$6:$AA$65-$I16))))/SUMPRODUCT($B$6:$B$65*EXP(-J$15*((($AA$6:$AA$65-$I16)&gt;0)*($AA$6:$AA$65-$I16)))*EXP(-J$15*((($AA$6:$AA$65-$I16)&gt;0)*($AA$6:$AA$65-$I16))))))*EXP(-J$15*((($AA$6:$AA$65-$I16)&gt;0)*($AA$6:$AA$65-$I16)))-$AB$6:$AB$65)^2))</f>
        <v/>
      </c>
      <c r="K16" s="18">
        <f>IF(OR(COUNTIF($D$6:$D$65,"&lt;"&amp;$I16)&lt;$I$5,COUNTIF($D$6:$D$65,"&gt;="&amp;$I16)&lt;$I$6,(MAX($D$6:$D$65)-$I16)/(MAX($D$6:$D$65)-MIN($D$6:$D$65))&lt;$I$7),"",SUMPRODUCT($B$6:$B$65*(((SUMPRODUCT($B$6:$B$65*$AB$6:$AB$65*EXP(-K$15*((($AA$6:$AA$65-$I16)&gt;0)*($AA$6:$AA$65-$I16))))/SUMPRODUCT($B$6:$B$65*EXP(-K$15*((($AA$6:$AA$65-$I16)&gt;0)*($AA$6:$AA$65-$I16)))*EXP(-K$15*((($AA$6:$AA$65-$I16)&gt;0)*($AA$6:$AA$65-$I16))))))*EXP(-K$15*((($AA$6:$AA$65-$I16)&gt;0)*($AA$6:$AA$65-$I16)))-$AB$6:$AB$65)^2))</f>
        <v/>
      </c>
      <c r="L16" s="18">
        <f>IF(OR(COUNTIF($D$6:$D$65,"&lt;"&amp;$I16)&lt;$I$5,COUNTIF($D$6:$D$65,"&gt;="&amp;$I16)&lt;$I$6,(MAX($D$6:$D$65)-$I16)/(MAX($D$6:$D$65)-MIN($D$6:$D$65))&lt;$I$7),"",SUMPRODUCT($B$6:$B$65*(((SUMPRODUCT($B$6:$B$65*$AB$6:$AB$65*EXP(-L$15*((($AA$6:$AA$65-$I16)&gt;0)*($AA$6:$AA$65-$I16))))/SUMPRODUCT($B$6:$B$65*EXP(-L$15*((($AA$6:$AA$65-$I16)&gt;0)*($AA$6:$AA$65-$I16)))*EXP(-L$15*((($AA$6:$AA$65-$I16)&gt;0)*($AA$6:$AA$65-$I16))))))*EXP(-L$15*((($AA$6:$AA$65-$I16)&gt;0)*($AA$6:$AA$65-$I16)))-$AB$6:$AB$65)^2))</f>
        <v/>
      </c>
      <c r="M16" s="18">
        <f>IF(OR(COUNTIF($D$6:$D$65,"&lt;"&amp;$I16)&lt;$I$5,COUNTIF($D$6:$D$65,"&gt;="&amp;$I16)&lt;$I$6,(MAX($D$6:$D$65)-$I16)/(MAX($D$6:$D$65)-MIN($D$6:$D$65))&lt;$I$7),"",SUMPRODUCT($B$6:$B$65*(((SUMPRODUCT($B$6:$B$65*$AB$6:$AB$65*EXP(-M$15*((($AA$6:$AA$65-$I16)&gt;0)*($AA$6:$AA$65-$I16))))/SUMPRODUCT($B$6:$B$65*EXP(-M$15*((($AA$6:$AA$65-$I16)&gt;0)*($AA$6:$AA$65-$I16)))*EXP(-M$15*((($AA$6:$AA$65-$I16)&gt;0)*($AA$6:$AA$65-$I16))))))*EXP(-M$15*((($AA$6:$AA$65-$I16)&gt;0)*($AA$6:$AA$65-$I16)))-$AB$6:$AB$65)^2))</f>
        <v/>
      </c>
      <c r="N16" s="18">
        <f>IF(OR(COUNTIF($D$6:$D$65,"&lt;"&amp;$I16)&lt;$I$5,COUNTIF($D$6:$D$65,"&gt;="&amp;$I16)&lt;$I$6,(MAX($D$6:$D$65)-$I16)/(MAX($D$6:$D$65)-MIN($D$6:$D$65))&lt;$I$7),"",SUMPRODUCT($B$6:$B$65*(((SUMPRODUCT($B$6:$B$65*$AB$6:$AB$65*EXP(-N$15*((($AA$6:$AA$65-$I16)&gt;0)*($AA$6:$AA$65-$I16))))/SUMPRODUCT($B$6:$B$65*EXP(-N$15*((($AA$6:$AA$65-$I16)&gt;0)*($AA$6:$AA$65-$I16)))*EXP(-N$15*((($AA$6:$AA$65-$I16)&gt;0)*($AA$6:$AA$65-$I16))))))*EXP(-N$15*((($AA$6:$AA$65-$I16)&gt;0)*($AA$6:$AA$65-$I16)))-$AB$6:$AB$65)^2))</f>
        <v/>
      </c>
      <c r="O16" s="18">
        <f>IF(OR(COUNTIF($D$6:$D$65,"&lt;"&amp;$I16)&lt;$I$5,COUNTIF($D$6:$D$65,"&gt;="&amp;$I16)&lt;$I$6,(MAX($D$6:$D$65)-$I16)/(MAX($D$6:$D$65)-MIN($D$6:$D$65))&lt;$I$7),"",SUMPRODUCT($B$6:$B$65*(((SUMPRODUCT($B$6:$B$65*$AB$6:$AB$65*EXP(-O$15*((($AA$6:$AA$65-$I16)&gt;0)*($AA$6:$AA$65-$I16))))/SUMPRODUCT($B$6:$B$65*EXP(-O$15*((($AA$6:$AA$65-$I16)&gt;0)*($AA$6:$AA$65-$I16)))*EXP(-O$15*((($AA$6:$AA$65-$I16)&gt;0)*($AA$6:$AA$65-$I16))))))*EXP(-O$15*((($AA$6:$AA$65-$I16)&gt;0)*($AA$6:$AA$65-$I16)))-$AB$6:$AB$65)^2))</f>
        <v/>
      </c>
      <c r="P16" s="18">
        <f>IF(OR(COUNTIF($D$6:$D$65,"&lt;"&amp;$I16)&lt;$I$5,COUNTIF($D$6:$D$65,"&gt;="&amp;$I16)&lt;$I$6,(MAX($D$6:$D$65)-$I16)/(MAX($D$6:$D$65)-MIN($D$6:$D$65))&lt;$I$7),"",SUMPRODUCT($B$6:$B$65*(((SUMPRODUCT($B$6:$B$65*$AB$6:$AB$65*EXP(-P$15*((($AA$6:$AA$65-$I16)&gt;0)*($AA$6:$AA$65-$I16))))/SUMPRODUCT($B$6:$B$65*EXP(-P$15*((($AA$6:$AA$65-$I16)&gt;0)*($AA$6:$AA$65-$I16)))*EXP(-P$15*((($AA$6:$AA$65-$I16)&gt;0)*($AA$6:$AA$65-$I16))))))*EXP(-P$15*((($AA$6:$AA$65-$I16)&gt;0)*($AA$6:$AA$65-$I16)))-$AB$6:$AB$65)^2))</f>
        <v/>
      </c>
      <c r="Q16" s="18">
        <f>IF(OR(COUNTIF($D$6:$D$65,"&lt;"&amp;$I16)&lt;$I$5,COUNTIF($D$6:$D$65,"&gt;="&amp;$I16)&lt;$I$6,(MAX($D$6:$D$65)-$I16)/(MAX($D$6:$D$65)-MIN($D$6:$D$65))&lt;$I$7),"",SUMPRODUCT($B$6:$B$65*(((SUMPRODUCT($B$6:$B$65*$AB$6:$AB$65*EXP(-Q$15*((($AA$6:$AA$65-$I16)&gt;0)*($AA$6:$AA$65-$I16))))/SUMPRODUCT($B$6:$B$65*EXP(-Q$15*((($AA$6:$AA$65-$I16)&gt;0)*($AA$6:$AA$65-$I16)))*EXP(-Q$15*((($AA$6:$AA$65-$I16)&gt;0)*($AA$6:$AA$65-$I16))))))*EXP(-Q$15*((($AA$6:$AA$65-$I16)&gt;0)*($AA$6:$AA$65-$I16)))-$AB$6:$AB$65)^2))</f>
        <v/>
      </c>
      <c r="R16" s="18">
        <f>IF(OR(COUNTIF($D$6:$D$65,"&lt;"&amp;$I16)&lt;$I$5,COUNTIF($D$6:$D$65,"&gt;="&amp;$I16)&lt;$I$6,(MAX($D$6:$D$65)-$I16)/(MAX($D$6:$D$65)-MIN($D$6:$D$65))&lt;$I$7),"",SUMPRODUCT($B$6:$B$65*(((SUMPRODUCT($B$6:$B$65*$AB$6:$AB$65*EXP(-R$15*((($AA$6:$AA$65-$I16)&gt;0)*($AA$6:$AA$65-$I16))))/SUMPRODUCT($B$6:$B$65*EXP(-R$15*((($AA$6:$AA$65-$I16)&gt;0)*($AA$6:$AA$65-$I16)))*EXP(-R$15*((($AA$6:$AA$65-$I16)&gt;0)*($AA$6:$AA$65-$I16))))))*EXP(-R$15*((($AA$6:$AA$65-$I16)&gt;0)*($AA$6:$AA$65-$I16)))-$AB$6:$AB$65)^2))</f>
        <v/>
      </c>
      <c r="S16" s="18">
        <f>IF(OR(COUNTIF($D$6:$D$65,"&lt;"&amp;$I16)&lt;$I$5,COUNTIF($D$6:$D$65,"&gt;="&amp;$I16)&lt;$I$6,(MAX($D$6:$D$65)-$I16)/(MAX($D$6:$D$65)-MIN($D$6:$D$65))&lt;$I$7),"",SUMPRODUCT($B$6:$B$65*(((SUMPRODUCT($B$6:$B$65*$AB$6:$AB$65*EXP(-S$15*((($AA$6:$AA$65-$I16)&gt;0)*($AA$6:$AA$65-$I16))))/SUMPRODUCT($B$6:$B$65*EXP(-S$15*((($AA$6:$AA$65-$I16)&gt;0)*($AA$6:$AA$65-$I16)))*EXP(-S$15*((($AA$6:$AA$65-$I16)&gt;0)*($AA$6:$AA$65-$I16))))))*EXP(-S$15*((($AA$6:$AA$65-$I16)&gt;0)*($AA$6:$AA$65-$I16)))-$AB$6:$AB$65)^2))</f>
        <v/>
      </c>
      <c r="T16" s="18">
        <f>IF(OR(COUNTIF($D$6:$D$65,"&lt;"&amp;$I16)&lt;$I$5,COUNTIF($D$6:$D$65,"&gt;="&amp;$I16)&lt;$I$6,(MAX($D$6:$D$65)-$I16)/(MAX($D$6:$D$65)-MIN($D$6:$D$65))&lt;$I$7),"",SUMPRODUCT($B$6:$B$65*(((SUMPRODUCT($B$6:$B$65*$AB$6:$AB$65*EXP(-T$15*((($AA$6:$AA$65-$I16)&gt;0)*($AA$6:$AA$65-$I16))))/SUMPRODUCT($B$6:$B$65*EXP(-T$15*((($AA$6:$AA$65-$I16)&gt;0)*($AA$6:$AA$65-$I16)))*EXP(-T$15*((($AA$6:$AA$65-$I16)&gt;0)*($AA$6:$AA$65-$I16))))))*EXP(-T$15*((($AA$6:$AA$65-$I16)&gt;0)*($AA$6:$AA$65-$I16)))-$AB$6:$AB$65)^2))</f>
        <v/>
      </c>
      <c r="U16" s="18">
        <f>IF(OR(COUNTIF($D$6:$D$65,"&lt;"&amp;$I16)&lt;$I$5,COUNTIF($D$6:$D$65,"&gt;="&amp;$I16)&lt;$I$6,(MAX($D$6:$D$65)-$I16)/(MAX($D$6:$D$65)-MIN($D$6:$D$65))&lt;$I$7),"",SUMPRODUCT($B$6:$B$65*(((SUMPRODUCT($B$6:$B$65*$AB$6:$AB$65*EXP(-U$15*((($AA$6:$AA$65-$I16)&gt;0)*($AA$6:$AA$65-$I16))))/SUMPRODUCT($B$6:$B$65*EXP(-U$15*((($AA$6:$AA$65-$I16)&gt;0)*($AA$6:$AA$65-$I16)))*EXP(-U$15*((($AA$6:$AA$65-$I16)&gt;0)*($AA$6:$AA$65-$I16))))))*EXP(-U$15*((($AA$6:$AA$65-$I16)&gt;0)*($AA$6:$AA$65-$I16)))-$AB$6:$AB$65)^2))</f>
        <v/>
      </c>
      <c r="V16" s="18">
        <f>IF(COUNT(J16:U16)=0,"",MIN(J16:U16))</f>
        <v/>
      </c>
      <c r="W16" s="6">
        <f>IF(COUNT(J16:U16)=0,"",MATCH(V16,J16:U16,0))</f>
        <v/>
      </c>
      <c r="AA16" s="12">
        <f>IF(ISNUMBER(D16),D16,0)</f>
        <v/>
      </c>
      <c r="AB16" s="13">
        <f>IF(ISNUMBER(E16),E16,0)</f>
        <v/>
      </c>
    </row>
    <row r="17">
      <c r="A17" s="6" t="n">
        <v>12</v>
      </c>
      <c r="B17" s="8" t="n">
        <v>11816</v>
      </c>
      <c r="C17" s="9" t="n">
        <v>213</v>
      </c>
      <c r="D17" s="10" t="n">
        <v>1.798489</v>
      </c>
      <c r="E17" s="11">
        <f>IF(B17&gt;0,C17/B17,"")</f>
        <v/>
      </c>
      <c r="F17" s="8" t="n"/>
      <c r="I17" s="17">
        <f>MIN($D$6:$D$65)+(MAX($D$6:$D$65)-MIN($D$6:$D$65))*0.1889</f>
        <v/>
      </c>
      <c r="J17" s="18">
        <f>IF(OR(COUNTIF($D$6:$D$65,"&lt;"&amp;$I17)&lt;$I$5,COUNTIF($D$6:$D$65,"&gt;="&amp;$I17)&lt;$I$6,(MAX($D$6:$D$65)-$I17)/(MAX($D$6:$D$65)-MIN($D$6:$D$65))&lt;$I$7),"",SUMPRODUCT($B$6:$B$65*(((SUMPRODUCT($B$6:$B$65*$AB$6:$AB$65*EXP(-J$15*((($AA$6:$AA$65-$I17)&gt;0)*($AA$6:$AA$65-$I17))))/SUMPRODUCT($B$6:$B$65*EXP(-J$15*((($AA$6:$AA$65-$I17)&gt;0)*($AA$6:$AA$65-$I17)))*EXP(-J$15*((($AA$6:$AA$65-$I17)&gt;0)*($AA$6:$AA$65-$I17))))))*EXP(-J$15*((($AA$6:$AA$65-$I17)&gt;0)*($AA$6:$AA$65-$I17)))-$AB$6:$AB$65)^2))</f>
        <v/>
      </c>
      <c r="K17" s="18">
        <f>IF(OR(COUNTIF($D$6:$D$65,"&lt;"&amp;$I17)&lt;$I$5,COUNTIF($D$6:$D$65,"&gt;="&amp;$I17)&lt;$I$6,(MAX($D$6:$D$65)-$I17)/(MAX($D$6:$D$65)-MIN($D$6:$D$65))&lt;$I$7),"",SUMPRODUCT($B$6:$B$65*(((SUMPRODUCT($B$6:$B$65*$AB$6:$AB$65*EXP(-K$15*((($AA$6:$AA$65-$I17)&gt;0)*($AA$6:$AA$65-$I17))))/SUMPRODUCT($B$6:$B$65*EXP(-K$15*((($AA$6:$AA$65-$I17)&gt;0)*($AA$6:$AA$65-$I17)))*EXP(-K$15*((($AA$6:$AA$65-$I17)&gt;0)*($AA$6:$AA$65-$I17))))))*EXP(-K$15*((($AA$6:$AA$65-$I17)&gt;0)*($AA$6:$AA$65-$I17)))-$AB$6:$AB$65)^2))</f>
        <v/>
      </c>
      <c r="L17" s="18">
        <f>IF(OR(COUNTIF($D$6:$D$65,"&lt;"&amp;$I17)&lt;$I$5,COUNTIF($D$6:$D$65,"&gt;="&amp;$I17)&lt;$I$6,(MAX($D$6:$D$65)-$I17)/(MAX($D$6:$D$65)-MIN($D$6:$D$65))&lt;$I$7),"",SUMPRODUCT($B$6:$B$65*(((SUMPRODUCT($B$6:$B$65*$AB$6:$AB$65*EXP(-L$15*((($AA$6:$AA$65-$I17)&gt;0)*($AA$6:$AA$65-$I17))))/SUMPRODUCT($B$6:$B$65*EXP(-L$15*((($AA$6:$AA$65-$I17)&gt;0)*($AA$6:$AA$65-$I17)))*EXP(-L$15*((($AA$6:$AA$65-$I17)&gt;0)*($AA$6:$AA$65-$I17))))))*EXP(-L$15*((($AA$6:$AA$65-$I17)&gt;0)*($AA$6:$AA$65-$I17)))-$AB$6:$AB$65)^2))</f>
        <v/>
      </c>
      <c r="M17" s="18">
        <f>IF(OR(COUNTIF($D$6:$D$65,"&lt;"&amp;$I17)&lt;$I$5,COUNTIF($D$6:$D$65,"&gt;="&amp;$I17)&lt;$I$6,(MAX($D$6:$D$65)-$I17)/(MAX($D$6:$D$65)-MIN($D$6:$D$65))&lt;$I$7),"",SUMPRODUCT($B$6:$B$65*(((SUMPRODUCT($B$6:$B$65*$AB$6:$AB$65*EXP(-M$15*((($AA$6:$AA$65-$I17)&gt;0)*($AA$6:$AA$65-$I17))))/SUMPRODUCT($B$6:$B$65*EXP(-M$15*((($AA$6:$AA$65-$I17)&gt;0)*($AA$6:$AA$65-$I17)))*EXP(-M$15*((($AA$6:$AA$65-$I17)&gt;0)*($AA$6:$AA$65-$I17))))))*EXP(-M$15*((($AA$6:$AA$65-$I17)&gt;0)*($AA$6:$AA$65-$I17)))-$AB$6:$AB$65)^2))</f>
        <v/>
      </c>
      <c r="N17" s="18">
        <f>IF(OR(COUNTIF($D$6:$D$65,"&lt;"&amp;$I17)&lt;$I$5,COUNTIF($D$6:$D$65,"&gt;="&amp;$I17)&lt;$I$6,(MAX($D$6:$D$65)-$I17)/(MAX($D$6:$D$65)-MIN($D$6:$D$65))&lt;$I$7),"",SUMPRODUCT($B$6:$B$65*(((SUMPRODUCT($B$6:$B$65*$AB$6:$AB$65*EXP(-N$15*((($AA$6:$AA$65-$I17)&gt;0)*($AA$6:$AA$65-$I17))))/SUMPRODUCT($B$6:$B$65*EXP(-N$15*((($AA$6:$AA$65-$I17)&gt;0)*($AA$6:$AA$65-$I17)))*EXP(-N$15*((($AA$6:$AA$65-$I17)&gt;0)*($AA$6:$AA$65-$I17))))))*EXP(-N$15*((($AA$6:$AA$65-$I17)&gt;0)*($AA$6:$AA$65-$I17)))-$AB$6:$AB$65)^2))</f>
        <v/>
      </c>
      <c r="O17" s="18">
        <f>IF(OR(COUNTIF($D$6:$D$65,"&lt;"&amp;$I17)&lt;$I$5,COUNTIF($D$6:$D$65,"&gt;="&amp;$I17)&lt;$I$6,(MAX($D$6:$D$65)-$I17)/(MAX($D$6:$D$65)-MIN($D$6:$D$65))&lt;$I$7),"",SUMPRODUCT($B$6:$B$65*(((SUMPRODUCT($B$6:$B$65*$AB$6:$AB$65*EXP(-O$15*((($AA$6:$AA$65-$I17)&gt;0)*($AA$6:$AA$65-$I17))))/SUMPRODUCT($B$6:$B$65*EXP(-O$15*((($AA$6:$AA$65-$I17)&gt;0)*($AA$6:$AA$65-$I17)))*EXP(-O$15*((($AA$6:$AA$65-$I17)&gt;0)*($AA$6:$AA$65-$I17))))))*EXP(-O$15*((($AA$6:$AA$65-$I17)&gt;0)*($AA$6:$AA$65-$I17)))-$AB$6:$AB$65)^2))</f>
        <v/>
      </c>
      <c r="P17" s="18">
        <f>IF(OR(COUNTIF($D$6:$D$65,"&lt;"&amp;$I17)&lt;$I$5,COUNTIF($D$6:$D$65,"&gt;="&amp;$I17)&lt;$I$6,(MAX($D$6:$D$65)-$I17)/(MAX($D$6:$D$65)-MIN($D$6:$D$65))&lt;$I$7),"",SUMPRODUCT($B$6:$B$65*(((SUMPRODUCT($B$6:$B$65*$AB$6:$AB$65*EXP(-P$15*((($AA$6:$AA$65-$I17)&gt;0)*($AA$6:$AA$65-$I17))))/SUMPRODUCT($B$6:$B$65*EXP(-P$15*((($AA$6:$AA$65-$I17)&gt;0)*($AA$6:$AA$65-$I17)))*EXP(-P$15*((($AA$6:$AA$65-$I17)&gt;0)*($AA$6:$AA$65-$I17))))))*EXP(-P$15*((($AA$6:$AA$65-$I17)&gt;0)*($AA$6:$AA$65-$I17)))-$AB$6:$AB$65)^2))</f>
        <v/>
      </c>
      <c r="Q17" s="18">
        <f>IF(OR(COUNTIF($D$6:$D$65,"&lt;"&amp;$I17)&lt;$I$5,COUNTIF($D$6:$D$65,"&gt;="&amp;$I17)&lt;$I$6,(MAX($D$6:$D$65)-$I17)/(MAX($D$6:$D$65)-MIN($D$6:$D$65))&lt;$I$7),"",SUMPRODUCT($B$6:$B$65*(((SUMPRODUCT($B$6:$B$65*$AB$6:$AB$65*EXP(-Q$15*((($AA$6:$AA$65-$I17)&gt;0)*($AA$6:$AA$65-$I17))))/SUMPRODUCT($B$6:$B$65*EXP(-Q$15*((($AA$6:$AA$65-$I17)&gt;0)*($AA$6:$AA$65-$I17)))*EXP(-Q$15*((($AA$6:$AA$65-$I17)&gt;0)*($AA$6:$AA$65-$I17))))))*EXP(-Q$15*((($AA$6:$AA$65-$I17)&gt;0)*($AA$6:$AA$65-$I17)))-$AB$6:$AB$65)^2))</f>
        <v/>
      </c>
      <c r="R17" s="18">
        <f>IF(OR(COUNTIF($D$6:$D$65,"&lt;"&amp;$I17)&lt;$I$5,COUNTIF($D$6:$D$65,"&gt;="&amp;$I17)&lt;$I$6,(MAX($D$6:$D$65)-$I17)/(MAX($D$6:$D$65)-MIN($D$6:$D$65))&lt;$I$7),"",SUMPRODUCT($B$6:$B$65*(((SUMPRODUCT($B$6:$B$65*$AB$6:$AB$65*EXP(-R$15*((($AA$6:$AA$65-$I17)&gt;0)*($AA$6:$AA$65-$I17))))/SUMPRODUCT($B$6:$B$65*EXP(-R$15*((($AA$6:$AA$65-$I17)&gt;0)*($AA$6:$AA$65-$I17)))*EXP(-R$15*((($AA$6:$AA$65-$I17)&gt;0)*($AA$6:$AA$65-$I17))))))*EXP(-R$15*((($AA$6:$AA$65-$I17)&gt;0)*($AA$6:$AA$65-$I17)))-$AB$6:$AB$65)^2))</f>
        <v/>
      </c>
      <c r="S17" s="18">
        <f>IF(OR(COUNTIF($D$6:$D$65,"&lt;"&amp;$I17)&lt;$I$5,COUNTIF($D$6:$D$65,"&gt;="&amp;$I17)&lt;$I$6,(MAX($D$6:$D$65)-$I17)/(MAX($D$6:$D$65)-MIN($D$6:$D$65))&lt;$I$7),"",SUMPRODUCT($B$6:$B$65*(((SUMPRODUCT($B$6:$B$65*$AB$6:$AB$65*EXP(-S$15*((($AA$6:$AA$65-$I17)&gt;0)*($AA$6:$AA$65-$I17))))/SUMPRODUCT($B$6:$B$65*EXP(-S$15*((($AA$6:$AA$65-$I17)&gt;0)*($AA$6:$AA$65-$I17)))*EXP(-S$15*((($AA$6:$AA$65-$I17)&gt;0)*($AA$6:$AA$65-$I17))))))*EXP(-S$15*((($AA$6:$AA$65-$I17)&gt;0)*($AA$6:$AA$65-$I17)))-$AB$6:$AB$65)^2))</f>
        <v/>
      </c>
      <c r="T17" s="18">
        <f>IF(OR(COUNTIF($D$6:$D$65,"&lt;"&amp;$I17)&lt;$I$5,COUNTIF($D$6:$D$65,"&gt;="&amp;$I17)&lt;$I$6,(MAX($D$6:$D$65)-$I17)/(MAX($D$6:$D$65)-MIN($D$6:$D$65))&lt;$I$7),"",SUMPRODUCT($B$6:$B$65*(((SUMPRODUCT($B$6:$B$65*$AB$6:$AB$65*EXP(-T$15*((($AA$6:$AA$65-$I17)&gt;0)*($AA$6:$AA$65-$I17))))/SUMPRODUCT($B$6:$B$65*EXP(-T$15*((($AA$6:$AA$65-$I17)&gt;0)*($AA$6:$AA$65-$I17)))*EXP(-T$15*((($AA$6:$AA$65-$I17)&gt;0)*($AA$6:$AA$65-$I17))))))*EXP(-T$15*((($AA$6:$AA$65-$I17)&gt;0)*($AA$6:$AA$65-$I17)))-$AB$6:$AB$65)^2))</f>
        <v/>
      </c>
      <c r="U17" s="18">
        <f>IF(OR(COUNTIF($D$6:$D$65,"&lt;"&amp;$I17)&lt;$I$5,COUNTIF($D$6:$D$65,"&gt;="&amp;$I17)&lt;$I$6,(MAX($D$6:$D$65)-$I17)/(MAX($D$6:$D$65)-MIN($D$6:$D$65))&lt;$I$7),"",SUMPRODUCT($B$6:$B$65*(((SUMPRODUCT($B$6:$B$65*$AB$6:$AB$65*EXP(-U$15*((($AA$6:$AA$65-$I17)&gt;0)*($AA$6:$AA$65-$I17))))/SUMPRODUCT($B$6:$B$65*EXP(-U$15*((($AA$6:$AA$65-$I17)&gt;0)*($AA$6:$AA$65-$I17)))*EXP(-U$15*((($AA$6:$AA$65-$I17)&gt;0)*($AA$6:$AA$65-$I17))))))*EXP(-U$15*((($AA$6:$AA$65-$I17)&gt;0)*($AA$6:$AA$65-$I17)))-$AB$6:$AB$65)^2))</f>
        <v/>
      </c>
      <c r="V17" s="18">
        <f>IF(COUNT(J17:U17)=0,"",MIN(J17:U17))</f>
        <v/>
      </c>
      <c r="W17" s="6">
        <f>IF(COUNT(J17:U17)=0,"",MATCH(V17,J17:U17,0))</f>
        <v/>
      </c>
      <c r="AA17" s="12">
        <f>IF(ISNUMBER(D17),D17,0)</f>
        <v/>
      </c>
      <c r="AB17" s="13">
        <f>IF(ISNUMBER(E17),E17,0)</f>
        <v/>
      </c>
    </row>
    <row r="18">
      <c r="A18" s="6" t="n">
        <v>13</v>
      </c>
      <c r="B18" s="8" t="n">
        <v>12111</v>
      </c>
      <c r="C18" s="9" t="n">
        <v>223</v>
      </c>
      <c r="D18" s="10" t="n">
        <v>1.889369</v>
      </c>
      <c r="E18" s="11">
        <f>IF(B18&gt;0,C18/B18,"")</f>
        <v/>
      </c>
      <c r="F18" s="8" t="n"/>
      <c r="I18" s="17">
        <f>MIN($D$6:$D$65)+(MAX($D$6:$D$65)-MIN($D$6:$D$65))*0.2778</f>
        <v/>
      </c>
      <c r="J18" s="18">
        <f>IF(OR(COUNTIF($D$6:$D$65,"&lt;"&amp;$I18)&lt;$I$5,COUNTIF($D$6:$D$65,"&gt;="&amp;$I18)&lt;$I$6,(MAX($D$6:$D$65)-$I18)/(MAX($D$6:$D$65)-MIN($D$6:$D$65))&lt;$I$7),"",SUMPRODUCT($B$6:$B$65*(((SUMPRODUCT($B$6:$B$65*$AB$6:$AB$65*EXP(-J$15*((($AA$6:$AA$65-$I18)&gt;0)*($AA$6:$AA$65-$I18))))/SUMPRODUCT($B$6:$B$65*EXP(-J$15*((($AA$6:$AA$65-$I18)&gt;0)*($AA$6:$AA$65-$I18)))*EXP(-J$15*((($AA$6:$AA$65-$I18)&gt;0)*($AA$6:$AA$65-$I18))))))*EXP(-J$15*((($AA$6:$AA$65-$I18)&gt;0)*($AA$6:$AA$65-$I18)))-$AB$6:$AB$65)^2))</f>
        <v/>
      </c>
      <c r="K18" s="18">
        <f>IF(OR(COUNTIF($D$6:$D$65,"&lt;"&amp;$I18)&lt;$I$5,COUNTIF($D$6:$D$65,"&gt;="&amp;$I18)&lt;$I$6,(MAX($D$6:$D$65)-$I18)/(MAX($D$6:$D$65)-MIN($D$6:$D$65))&lt;$I$7),"",SUMPRODUCT($B$6:$B$65*(((SUMPRODUCT($B$6:$B$65*$AB$6:$AB$65*EXP(-K$15*((($AA$6:$AA$65-$I18)&gt;0)*($AA$6:$AA$65-$I18))))/SUMPRODUCT($B$6:$B$65*EXP(-K$15*((($AA$6:$AA$65-$I18)&gt;0)*($AA$6:$AA$65-$I18)))*EXP(-K$15*((($AA$6:$AA$65-$I18)&gt;0)*($AA$6:$AA$65-$I18))))))*EXP(-K$15*((($AA$6:$AA$65-$I18)&gt;0)*($AA$6:$AA$65-$I18)))-$AB$6:$AB$65)^2))</f>
        <v/>
      </c>
      <c r="L18" s="18">
        <f>IF(OR(COUNTIF($D$6:$D$65,"&lt;"&amp;$I18)&lt;$I$5,COUNTIF($D$6:$D$65,"&gt;="&amp;$I18)&lt;$I$6,(MAX($D$6:$D$65)-$I18)/(MAX($D$6:$D$65)-MIN($D$6:$D$65))&lt;$I$7),"",SUMPRODUCT($B$6:$B$65*(((SUMPRODUCT($B$6:$B$65*$AB$6:$AB$65*EXP(-L$15*((($AA$6:$AA$65-$I18)&gt;0)*($AA$6:$AA$65-$I18))))/SUMPRODUCT($B$6:$B$65*EXP(-L$15*((($AA$6:$AA$65-$I18)&gt;0)*($AA$6:$AA$65-$I18)))*EXP(-L$15*((($AA$6:$AA$65-$I18)&gt;0)*($AA$6:$AA$65-$I18))))))*EXP(-L$15*((($AA$6:$AA$65-$I18)&gt;0)*($AA$6:$AA$65-$I18)))-$AB$6:$AB$65)^2))</f>
        <v/>
      </c>
      <c r="M18" s="18">
        <f>IF(OR(COUNTIF($D$6:$D$65,"&lt;"&amp;$I18)&lt;$I$5,COUNTIF($D$6:$D$65,"&gt;="&amp;$I18)&lt;$I$6,(MAX($D$6:$D$65)-$I18)/(MAX($D$6:$D$65)-MIN($D$6:$D$65))&lt;$I$7),"",SUMPRODUCT($B$6:$B$65*(((SUMPRODUCT($B$6:$B$65*$AB$6:$AB$65*EXP(-M$15*((($AA$6:$AA$65-$I18)&gt;0)*($AA$6:$AA$65-$I18))))/SUMPRODUCT($B$6:$B$65*EXP(-M$15*((($AA$6:$AA$65-$I18)&gt;0)*($AA$6:$AA$65-$I18)))*EXP(-M$15*((($AA$6:$AA$65-$I18)&gt;0)*($AA$6:$AA$65-$I18))))))*EXP(-M$15*((($AA$6:$AA$65-$I18)&gt;0)*($AA$6:$AA$65-$I18)))-$AB$6:$AB$65)^2))</f>
        <v/>
      </c>
      <c r="N18" s="18">
        <f>IF(OR(COUNTIF($D$6:$D$65,"&lt;"&amp;$I18)&lt;$I$5,COUNTIF($D$6:$D$65,"&gt;="&amp;$I18)&lt;$I$6,(MAX($D$6:$D$65)-$I18)/(MAX($D$6:$D$65)-MIN($D$6:$D$65))&lt;$I$7),"",SUMPRODUCT($B$6:$B$65*(((SUMPRODUCT($B$6:$B$65*$AB$6:$AB$65*EXP(-N$15*((($AA$6:$AA$65-$I18)&gt;0)*($AA$6:$AA$65-$I18))))/SUMPRODUCT($B$6:$B$65*EXP(-N$15*((($AA$6:$AA$65-$I18)&gt;0)*($AA$6:$AA$65-$I18)))*EXP(-N$15*((($AA$6:$AA$65-$I18)&gt;0)*($AA$6:$AA$65-$I18))))))*EXP(-N$15*((($AA$6:$AA$65-$I18)&gt;0)*($AA$6:$AA$65-$I18)))-$AB$6:$AB$65)^2))</f>
        <v/>
      </c>
      <c r="O18" s="18">
        <f>IF(OR(COUNTIF($D$6:$D$65,"&lt;"&amp;$I18)&lt;$I$5,COUNTIF($D$6:$D$65,"&gt;="&amp;$I18)&lt;$I$6,(MAX($D$6:$D$65)-$I18)/(MAX($D$6:$D$65)-MIN($D$6:$D$65))&lt;$I$7),"",SUMPRODUCT($B$6:$B$65*(((SUMPRODUCT($B$6:$B$65*$AB$6:$AB$65*EXP(-O$15*((($AA$6:$AA$65-$I18)&gt;0)*($AA$6:$AA$65-$I18))))/SUMPRODUCT($B$6:$B$65*EXP(-O$15*((($AA$6:$AA$65-$I18)&gt;0)*($AA$6:$AA$65-$I18)))*EXP(-O$15*((($AA$6:$AA$65-$I18)&gt;0)*($AA$6:$AA$65-$I18))))))*EXP(-O$15*((($AA$6:$AA$65-$I18)&gt;0)*($AA$6:$AA$65-$I18)))-$AB$6:$AB$65)^2))</f>
        <v/>
      </c>
      <c r="P18" s="18">
        <f>IF(OR(COUNTIF($D$6:$D$65,"&lt;"&amp;$I18)&lt;$I$5,COUNTIF($D$6:$D$65,"&gt;="&amp;$I18)&lt;$I$6,(MAX($D$6:$D$65)-$I18)/(MAX($D$6:$D$65)-MIN($D$6:$D$65))&lt;$I$7),"",SUMPRODUCT($B$6:$B$65*(((SUMPRODUCT($B$6:$B$65*$AB$6:$AB$65*EXP(-P$15*((($AA$6:$AA$65-$I18)&gt;0)*($AA$6:$AA$65-$I18))))/SUMPRODUCT($B$6:$B$65*EXP(-P$15*((($AA$6:$AA$65-$I18)&gt;0)*($AA$6:$AA$65-$I18)))*EXP(-P$15*((($AA$6:$AA$65-$I18)&gt;0)*($AA$6:$AA$65-$I18))))))*EXP(-P$15*((($AA$6:$AA$65-$I18)&gt;0)*($AA$6:$AA$65-$I18)))-$AB$6:$AB$65)^2))</f>
        <v/>
      </c>
      <c r="Q18" s="18">
        <f>IF(OR(COUNTIF($D$6:$D$65,"&lt;"&amp;$I18)&lt;$I$5,COUNTIF($D$6:$D$65,"&gt;="&amp;$I18)&lt;$I$6,(MAX($D$6:$D$65)-$I18)/(MAX($D$6:$D$65)-MIN($D$6:$D$65))&lt;$I$7),"",SUMPRODUCT($B$6:$B$65*(((SUMPRODUCT($B$6:$B$65*$AB$6:$AB$65*EXP(-Q$15*((($AA$6:$AA$65-$I18)&gt;0)*($AA$6:$AA$65-$I18))))/SUMPRODUCT($B$6:$B$65*EXP(-Q$15*((($AA$6:$AA$65-$I18)&gt;0)*($AA$6:$AA$65-$I18)))*EXP(-Q$15*((($AA$6:$AA$65-$I18)&gt;0)*($AA$6:$AA$65-$I18))))))*EXP(-Q$15*((($AA$6:$AA$65-$I18)&gt;0)*($AA$6:$AA$65-$I18)))-$AB$6:$AB$65)^2))</f>
        <v/>
      </c>
      <c r="R18" s="18">
        <f>IF(OR(COUNTIF($D$6:$D$65,"&lt;"&amp;$I18)&lt;$I$5,COUNTIF($D$6:$D$65,"&gt;="&amp;$I18)&lt;$I$6,(MAX($D$6:$D$65)-$I18)/(MAX($D$6:$D$65)-MIN($D$6:$D$65))&lt;$I$7),"",SUMPRODUCT($B$6:$B$65*(((SUMPRODUCT($B$6:$B$65*$AB$6:$AB$65*EXP(-R$15*((($AA$6:$AA$65-$I18)&gt;0)*($AA$6:$AA$65-$I18))))/SUMPRODUCT($B$6:$B$65*EXP(-R$15*((($AA$6:$AA$65-$I18)&gt;0)*($AA$6:$AA$65-$I18)))*EXP(-R$15*((($AA$6:$AA$65-$I18)&gt;0)*($AA$6:$AA$65-$I18))))))*EXP(-R$15*((($AA$6:$AA$65-$I18)&gt;0)*($AA$6:$AA$65-$I18)))-$AB$6:$AB$65)^2))</f>
        <v/>
      </c>
      <c r="S18" s="18">
        <f>IF(OR(COUNTIF($D$6:$D$65,"&lt;"&amp;$I18)&lt;$I$5,COUNTIF($D$6:$D$65,"&gt;="&amp;$I18)&lt;$I$6,(MAX($D$6:$D$65)-$I18)/(MAX($D$6:$D$65)-MIN($D$6:$D$65))&lt;$I$7),"",SUMPRODUCT($B$6:$B$65*(((SUMPRODUCT($B$6:$B$65*$AB$6:$AB$65*EXP(-S$15*((($AA$6:$AA$65-$I18)&gt;0)*($AA$6:$AA$65-$I18))))/SUMPRODUCT($B$6:$B$65*EXP(-S$15*((($AA$6:$AA$65-$I18)&gt;0)*($AA$6:$AA$65-$I18)))*EXP(-S$15*((($AA$6:$AA$65-$I18)&gt;0)*($AA$6:$AA$65-$I18))))))*EXP(-S$15*((($AA$6:$AA$65-$I18)&gt;0)*($AA$6:$AA$65-$I18)))-$AB$6:$AB$65)^2))</f>
        <v/>
      </c>
      <c r="T18" s="18">
        <f>IF(OR(COUNTIF($D$6:$D$65,"&lt;"&amp;$I18)&lt;$I$5,COUNTIF($D$6:$D$65,"&gt;="&amp;$I18)&lt;$I$6,(MAX($D$6:$D$65)-$I18)/(MAX($D$6:$D$65)-MIN($D$6:$D$65))&lt;$I$7),"",SUMPRODUCT($B$6:$B$65*(((SUMPRODUCT($B$6:$B$65*$AB$6:$AB$65*EXP(-T$15*((($AA$6:$AA$65-$I18)&gt;0)*($AA$6:$AA$65-$I18))))/SUMPRODUCT($B$6:$B$65*EXP(-T$15*((($AA$6:$AA$65-$I18)&gt;0)*($AA$6:$AA$65-$I18)))*EXP(-T$15*((($AA$6:$AA$65-$I18)&gt;0)*($AA$6:$AA$65-$I18))))))*EXP(-T$15*((($AA$6:$AA$65-$I18)&gt;0)*($AA$6:$AA$65-$I18)))-$AB$6:$AB$65)^2))</f>
        <v/>
      </c>
      <c r="U18" s="18">
        <f>IF(OR(COUNTIF($D$6:$D$65,"&lt;"&amp;$I18)&lt;$I$5,COUNTIF($D$6:$D$65,"&gt;="&amp;$I18)&lt;$I$6,(MAX($D$6:$D$65)-$I18)/(MAX($D$6:$D$65)-MIN($D$6:$D$65))&lt;$I$7),"",SUMPRODUCT($B$6:$B$65*(((SUMPRODUCT($B$6:$B$65*$AB$6:$AB$65*EXP(-U$15*((($AA$6:$AA$65-$I18)&gt;0)*($AA$6:$AA$65-$I18))))/SUMPRODUCT($B$6:$B$65*EXP(-U$15*((($AA$6:$AA$65-$I18)&gt;0)*($AA$6:$AA$65-$I18)))*EXP(-U$15*((($AA$6:$AA$65-$I18)&gt;0)*($AA$6:$AA$65-$I18))))))*EXP(-U$15*((($AA$6:$AA$65-$I18)&gt;0)*($AA$6:$AA$65-$I18)))-$AB$6:$AB$65)^2))</f>
        <v/>
      </c>
      <c r="V18" s="18">
        <f>IF(COUNT(J18:U18)=0,"",MIN(J18:U18))</f>
        <v/>
      </c>
      <c r="W18" s="6">
        <f>IF(COUNT(J18:U18)=0,"",MATCH(V18,J18:U18,0))</f>
        <v/>
      </c>
      <c r="AA18" s="12">
        <f>IF(ISNUMBER(D18),D18,0)</f>
        <v/>
      </c>
      <c r="AB18" s="13">
        <f>IF(ISNUMBER(E18),E18,0)</f>
        <v/>
      </c>
    </row>
    <row r="19">
      <c r="A19" s="6" t="n">
        <v>14</v>
      </c>
      <c r="B19" s="8" t="n">
        <v>12009</v>
      </c>
      <c r="C19" s="9" t="n">
        <v>226</v>
      </c>
      <c r="D19" s="10" t="n">
        <v>1.965229</v>
      </c>
      <c r="E19" s="11">
        <f>IF(B19&gt;0,C19/B19,"")</f>
        <v/>
      </c>
      <c r="F19" s="8" t="n"/>
      <c r="I19" s="17">
        <f>MIN($D$6:$D$65)+(MAX($D$6:$D$65)-MIN($D$6:$D$65))*0.3667</f>
        <v/>
      </c>
      <c r="J19" s="18">
        <f>IF(OR(COUNTIF($D$6:$D$65,"&lt;"&amp;$I19)&lt;$I$5,COUNTIF($D$6:$D$65,"&gt;="&amp;$I19)&lt;$I$6,(MAX($D$6:$D$65)-$I19)/(MAX($D$6:$D$65)-MIN($D$6:$D$65))&lt;$I$7),"",SUMPRODUCT($B$6:$B$65*(((SUMPRODUCT($B$6:$B$65*$AB$6:$AB$65*EXP(-J$15*((($AA$6:$AA$65-$I19)&gt;0)*($AA$6:$AA$65-$I19))))/SUMPRODUCT($B$6:$B$65*EXP(-J$15*((($AA$6:$AA$65-$I19)&gt;0)*($AA$6:$AA$65-$I19)))*EXP(-J$15*((($AA$6:$AA$65-$I19)&gt;0)*($AA$6:$AA$65-$I19))))))*EXP(-J$15*((($AA$6:$AA$65-$I19)&gt;0)*($AA$6:$AA$65-$I19)))-$AB$6:$AB$65)^2))</f>
        <v/>
      </c>
      <c r="K19" s="18">
        <f>IF(OR(COUNTIF($D$6:$D$65,"&lt;"&amp;$I19)&lt;$I$5,COUNTIF($D$6:$D$65,"&gt;="&amp;$I19)&lt;$I$6,(MAX($D$6:$D$65)-$I19)/(MAX($D$6:$D$65)-MIN($D$6:$D$65))&lt;$I$7),"",SUMPRODUCT($B$6:$B$65*(((SUMPRODUCT($B$6:$B$65*$AB$6:$AB$65*EXP(-K$15*((($AA$6:$AA$65-$I19)&gt;0)*($AA$6:$AA$65-$I19))))/SUMPRODUCT($B$6:$B$65*EXP(-K$15*((($AA$6:$AA$65-$I19)&gt;0)*($AA$6:$AA$65-$I19)))*EXP(-K$15*((($AA$6:$AA$65-$I19)&gt;0)*($AA$6:$AA$65-$I19))))))*EXP(-K$15*((($AA$6:$AA$65-$I19)&gt;0)*($AA$6:$AA$65-$I19)))-$AB$6:$AB$65)^2))</f>
        <v/>
      </c>
      <c r="L19" s="18">
        <f>IF(OR(COUNTIF($D$6:$D$65,"&lt;"&amp;$I19)&lt;$I$5,COUNTIF($D$6:$D$65,"&gt;="&amp;$I19)&lt;$I$6,(MAX($D$6:$D$65)-$I19)/(MAX($D$6:$D$65)-MIN($D$6:$D$65))&lt;$I$7),"",SUMPRODUCT($B$6:$B$65*(((SUMPRODUCT($B$6:$B$65*$AB$6:$AB$65*EXP(-L$15*((($AA$6:$AA$65-$I19)&gt;0)*($AA$6:$AA$65-$I19))))/SUMPRODUCT($B$6:$B$65*EXP(-L$15*((($AA$6:$AA$65-$I19)&gt;0)*($AA$6:$AA$65-$I19)))*EXP(-L$15*((($AA$6:$AA$65-$I19)&gt;0)*($AA$6:$AA$65-$I19))))))*EXP(-L$15*((($AA$6:$AA$65-$I19)&gt;0)*($AA$6:$AA$65-$I19)))-$AB$6:$AB$65)^2))</f>
        <v/>
      </c>
      <c r="M19" s="18">
        <f>IF(OR(COUNTIF($D$6:$D$65,"&lt;"&amp;$I19)&lt;$I$5,COUNTIF($D$6:$D$65,"&gt;="&amp;$I19)&lt;$I$6,(MAX($D$6:$D$65)-$I19)/(MAX($D$6:$D$65)-MIN($D$6:$D$65))&lt;$I$7),"",SUMPRODUCT($B$6:$B$65*(((SUMPRODUCT($B$6:$B$65*$AB$6:$AB$65*EXP(-M$15*((($AA$6:$AA$65-$I19)&gt;0)*($AA$6:$AA$65-$I19))))/SUMPRODUCT($B$6:$B$65*EXP(-M$15*((($AA$6:$AA$65-$I19)&gt;0)*($AA$6:$AA$65-$I19)))*EXP(-M$15*((($AA$6:$AA$65-$I19)&gt;0)*($AA$6:$AA$65-$I19))))))*EXP(-M$15*((($AA$6:$AA$65-$I19)&gt;0)*($AA$6:$AA$65-$I19)))-$AB$6:$AB$65)^2))</f>
        <v/>
      </c>
      <c r="N19" s="18">
        <f>IF(OR(COUNTIF($D$6:$D$65,"&lt;"&amp;$I19)&lt;$I$5,COUNTIF($D$6:$D$65,"&gt;="&amp;$I19)&lt;$I$6,(MAX($D$6:$D$65)-$I19)/(MAX($D$6:$D$65)-MIN($D$6:$D$65))&lt;$I$7),"",SUMPRODUCT($B$6:$B$65*(((SUMPRODUCT($B$6:$B$65*$AB$6:$AB$65*EXP(-N$15*((($AA$6:$AA$65-$I19)&gt;0)*($AA$6:$AA$65-$I19))))/SUMPRODUCT($B$6:$B$65*EXP(-N$15*((($AA$6:$AA$65-$I19)&gt;0)*($AA$6:$AA$65-$I19)))*EXP(-N$15*((($AA$6:$AA$65-$I19)&gt;0)*($AA$6:$AA$65-$I19))))))*EXP(-N$15*((($AA$6:$AA$65-$I19)&gt;0)*($AA$6:$AA$65-$I19)))-$AB$6:$AB$65)^2))</f>
        <v/>
      </c>
      <c r="O19" s="18">
        <f>IF(OR(COUNTIF($D$6:$D$65,"&lt;"&amp;$I19)&lt;$I$5,COUNTIF($D$6:$D$65,"&gt;="&amp;$I19)&lt;$I$6,(MAX($D$6:$D$65)-$I19)/(MAX($D$6:$D$65)-MIN($D$6:$D$65))&lt;$I$7),"",SUMPRODUCT($B$6:$B$65*(((SUMPRODUCT($B$6:$B$65*$AB$6:$AB$65*EXP(-O$15*((($AA$6:$AA$65-$I19)&gt;0)*($AA$6:$AA$65-$I19))))/SUMPRODUCT($B$6:$B$65*EXP(-O$15*((($AA$6:$AA$65-$I19)&gt;0)*($AA$6:$AA$65-$I19)))*EXP(-O$15*((($AA$6:$AA$65-$I19)&gt;0)*($AA$6:$AA$65-$I19))))))*EXP(-O$15*((($AA$6:$AA$65-$I19)&gt;0)*($AA$6:$AA$65-$I19)))-$AB$6:$AB$65)^2))</f>
        <v/>
      </c>
      <c r="P19" s="18">
        <f>IF(OR(COUNTIF($D$6:$D$65,"&lt;"&amp;$I19)&lt;$I$5,COUNTIF($D$6:$D$65,"&gt;="&amp;$I19)&lt;$I$6,(MAX($D$6:$D$65)-$I19)/(MAX($D$6:$D$65)-MIN($D$6:$D$65))&lt;$I$7),"",SUMPRODUCT($B$6:$B$65*(((SUMPRODUCT($B$6:$B$65*$AB$6:$AB$65*EXP(-P$15*((($AA$6:$AA$65-$I19)&gt;0)*($AA$6:$AA$65-$I19))))/SUMPRODUCT($B$6:$B$65*EXP(-P$15*((($AA$6:$AA$65-$I19)&gt;0)*($AA$6:$AA$65-$I19)))*EXP(-P$15*((($AA$6:$AA$65-$I19)&gt;0)*($AA$6:$AA$65-$I19))))))*EXP(-P$15*((($AA$6:$AA$65-$I19)&gt;0)*($AA$6:$AA$65-$I19)))-$AB$6:$AB$65)^2))</f>
        <v/>
      </c>
      <c r="Q19" s="18">
        <f>IF(OR(COUNTIF($D$6:$D$65,"&lt;"&amp;$I19)&lt;$I$5,COUNTIF($D$6:$D$65,"&gt;="&amp;$I19)&lt;$I$6,(MAX($D$6:$D$65)-$I19)/(MAX($D$6:$D$65)-MIN($D$6:$D$65))&lt;$I$7),"",SUMPRODUCT($B$6:$B$65*(((SUMPRODUCT($B$6:$B$65*$AB$6:$AB$65*EXP(-Q$15*((($AA$6:$AA$65-$I19)&gt;0)*($AA$6:$AA$65-$I19))))/SUMPRODUCT($B$6:$B$65*EXP(-Q$15*((($AA$6:$AA$65-$I19)&gt;0)*($AA$6:$AA$65-$I19)))*EXP(-Q$15*((($AA$6:$AA$65-$I19)&gt;0)*($AA$6:$AA$65-$I19))))))*EXP(-Q$15*((($AA$6:$AA$65-$I19)&gt;0)*($AA$6:$AA$65-$I19)))-$AB$6:$AB$65)^2))</f>
        <v/>
      </c>
      <c r="R19" s="18">
        <f>IF(OR(COUNTIF($D$6:$D$65,"&lt;"&amp;$I19)&lt;$I$5,COUNTIF($D$6:$D$65,"&gt;="&amp;$I19)&lt;$I$6,(MAX($D$6:$D$65)-$I19)/(MAX($D$6:$D$65)-MIN($D$6:$D$65))&lt;$I$7),"",SUMPRODUCT($B$6:$B$65*(((SUMPRODUCT($B$6:$B$65*$AB$6:$AB$65*EXP(-R$15*((($AA$6:$AA$65-$I19)&gt;0)*($AA$6:$AA$65-$I19))))/SUMPRODUCT($B$6:$B$65*EXP(-R$15*((($AA$6:$AA$65-$I19)&gt;0)*($AA$6:$AA$65-$I19)))*EXP(-R$15*((($AA$6:$AA$65-$I19)&gt;0)*($AA$6:$AA$65-$I19))))))*EXP(-R$15*((($AA$6:$AA$65-$I19)&gt;0)*($AA$6:$AA$65-$I19)))-$AB$6:$AB$65)^2))</f>
        <v/>
      </c>
      <c r="S19" s="18">
        <f>IF(OR(COUNTIF($D$6:$D$65,"&lt;"&amp;$I19)&lt;$I$5,COUNTIF($D$6:$D$65,"&gt;="&amp;$I19)&lt;$I$6,(MAX($D$6:$D$65)-$I19)/(MAX($D$6:$D$65)-MIN($D$6:$D$65))&lt;$I$7),"",SUMPRODUCT($B$6:$B$65*(((SUMPRODUCT($B$6:$B$65*$AB$6:$AB$65*EXP(-S$15*((($AA$6:$AA$65-$I19)&gt;0)*($AA$6:$AA$65-$I19))))/SUMPRODUCT($B$6:$B$65*EXP(-S$15*((($AA$6:$AA$65-$I19)&gt;0)*($AA$6:$AA$65-$I19)))*EXP(-S$15*((($AA$6:$AA$65-$I19)&gt;0)*($AA$6:$AA$65-$I19))))))*EXP(-S$15*((($AA$6:$AA$65-$I19)&gt;0)*($AA$6:$AA$65-$I19)))-$AB$6:$AB$65)^2))</f>
        <v/>
      </c>
      <c r="T19" s="18">
        <f>IF(OR(COUNTIF($D$6:$D$65,"&lt;"&amp;$I19)&lt;$I$5,COUNTIF($D$6:$D$65,"&gt;="&amp;$I19)&lt;$I$6,(MAX($D$6:$D$65)-$I19)/(MAX($D$6:$D$65)-MIN($D$6:$D$65))&lt;$I$7),"",SUMPRODUCT($B$6:$B$65*(((SUMPRODUCT($B$6:$B$65*$AB$6:$AB$65*EXP(-T$15*((($AA$6:$AA$65-$I19)&gt;0)*($AA$6:$AA$65-$I19))))/SUMPRODUCT($B$6:$B$65*EXP(-T$15*((($AA$6:$AA$65-$I19)&gt;0)*($AA$6:$AA$65-$I19)))*EXP(-T$15*((($AA$6:$AA$65-$I19)&gt;0)*($AA$6:$AA$65-$I19))))))*EXP(-T$15*((($AA$6:$AA$65-$I19)&gt;0)*($AA$6:$AA$65-$I19)))-$AB$6:$AB$65)^2))</f>
        <v/>
      </c>
      <c r="U19" s="18">
        <f>IF(OR(COUNTIF($D$6:$D$65,"&lt;"&amp;$I19)&lt;$I$5,COUNTIF($D$6:$D$65,"&gt;="&amp;$I19)&lt;$I$6,(MAX($D$6:$D$65)-$I19)/(MAX($D$6:$D$65)-MIN($D$6:$D$65))&lt;$I$7),"",SUMPRODUCT($B$6:$B$65*(((SUMPRODUCT($B$6:$B$65*$AB$6:$AB$65*EXP(-U$15*((($AA$6:$AA$65-$I19)&gt;0)*($AA$6:$AA$65-$I19))))/SUMPRODUCT($B$6:$B$65*EXP(-U$15*((($AA$6:$AA$65-$I19)&gt;0)*($AA$6:$AA$65-$I19)))*EXP(-U$15*((($AA$6:$AA$65-$I19)&gt;0)*($AA$6:$AA$65-$I19))))))*EXP(-U$15*((($AA$6:$AA$65-$I19)&gt;0)*($AA$6:$AA$65-$I19)))-$AB$6:$AB$65)^2))</f>
        <v/>
      </c>
      <c r="V19" s="18">
        <f>IF(COUNT(J19:U19)=0,"",MIN(J19:U19))</f>
        <v/>
      </c>
      <c r="W19" s="6">
        <f>IF(COUNT(J19:U19)=0,"",MATCH(V19,J19:U19,0))</f>
        <v/>
      </c>
      <c r="AA19" s="12">
        <f>IF(ISNUMBER(D19),D19,0)</f>
        <v/>
      </c>
      <c r="AB19" s="13">
        <f>IF(ISNUMBER(E19),E19,0)</f>
        <v/>
      </c>
    </row>
    <row r="20">
      <c r="A20" s="6" t="n">
        <v>15</v>
      </c>
      <c r="B20" s="8" t="n">
        <v>12071</v>
      </c>
      <c r="C20" s="9" t="n">
        <v>221</v>
      </c>
      <c r="D20" s="10" t="n">
        <v>2.089002</v>
      </c>
      <c r="E20" s="11">
        <f>IF(B20&gt;0,C20/B20,"")</f>
        <v/>
      </c>
      <c r="F20" s="8" t="n"/>
      <c r="I20" s="17">
        <f>MIN($D$6:$D$65)+(MAX($D$6:$D$65)-MIN($D$6:$D$65))*0.4556</f>
        <v/>
      </c>
      <c r="J20" s="18">
        <f>IF(OR(COUNTIF($D$6:$D$65,"&lt;"&amp;$I20)&lt;$I$5,COUNTIF($D$6:$D$65,"&gt;="&amp;$I20)&lt;$I$6,(MAX($D$6:$D$65)-$I20)/(MAX($D$6:$D$65)-MIN($D$6:$D$65))&lt;$I$7),"",SUMPRODUCT($B$6:$B$65*(((SUMPRODUCT($B$6:$B$65*$AB$6:$AB$65*EXP(-J$15*((($AA$6:$AA$65-$I20)&gt;0)*($AA$6:$AA$65-$I20))))/SUMPRODUCT($B$6:$B$65*EXP(-J$15*((($AA$6:$AA$65-$I20)&gt;0)*($AA$6:$AA$65-$I20)))*EXP(-J$15*((($AA$6:$AA$65-$I20)&gt;0)*($AA$6:$AA$65-$I20))))))*EXP(-J$15*((($AA$6:$AA$65-$I20)&gt;0)*($AA$6:$AA$65-$I20)))-$AB$6:$AB$65)^2))</f>
        <v/>
      </c>
      <c r="K20" s="18">
        <f>IF(OR(COUNTIF($D$6:$D$65,"&lt;"&amp;$I20)&lt;$I$5,COUNTIF($D$6:$D$65,"&gt;="&amp;$I20)&lt;$I$6,(MAX($D$6:$D$65)-$I20)/(MAX($D$6:$D$65)-MIN($D$6:$D$65))&lt;$I$7),"",SUMPRODUCT($B$6:$B$65*(((SUMPRODUCT($B$6:$B$65*$AB$6:$AB$65*EXP(-K$15*((($AA$6:$AA$65-$I20)&gt;0)*($AA$6:$AA$65-$I20))))/SUMPRODUCT($B$6:$B$65*EXP(-K$15*((($AA$6:$AA$65-$I20)&gt;0)*($AA$6:$AA$65-$I20)))*EXP(-K$15*((($AA$6:$AA$65-$I20)&gt;0)*($AA$6:$AA$65-$I20))))))*EXP(-K$15*((($AA$6:$AA$65-$I20)&gt;0)*($AA$6:$AA$65-$I20)))-$AB$6:$AB$65)^2))</f>
        <v/>
      </c>
      <c r="L20" s="18">
        <f>IF(OR(COUNTIF($D$6:$D$65,"&lt;"&amp;$I20)&lt;$I$5,COUNTIF($D$6:$D$65,"&gt;="&amp;$I20)&lt;$I$6,(MAX($D$6:$D$65)-$I20)/(MAX($D$6:$D$65)-MIN($D$6:$D$65))&lt;$I$7),"",SUMPRODUCT($B$6:$B$65*(((SUMPRODUCT($B$6:$B$65*$AB$6:$AB$65*EXP(-L$15*((($AA$6:$AA$65-$I20)&gt;0)*($AA$6:$AA$65-$I20))))/SUMPRODUCT($B$6:$B$65*EXP(-L$15*((($AA$6:$AA$65-$I20)&gt;0)*($AA$6:$AA$65-$I20)))*EXP(-L$15*((($AA$6:$AA$65-$I20)&gt;0)*($AA$6:$AA$65-$I20))))))*EXP(-L$15*((($AA$6:$AA$65-$I20)&gt;0)*($AA$6:$AA$65-$I20)))-$AB$6:$AB$65)^2))</f>
        <v/>
      </c>
      <c r="M20" s="18">
        <f>IF(OR(COUNTIF($D$6:$D$65,"&lt;"&amp;$I20)&lt;$I$5,COUNTIF($D$6:$D$65,"&gt;="&amp;$I20)&lt;$I$6,(MAX($D$6:$D$65)-$I20)/(MAX($D$6:$D$65)-MIN($D$6:$D$65))&lt;$I$7),"",SUMPRODUCT($B$6:$B$65*(((SUMPRODUCT($B$6:$B$65*$AB$6:$AB$65*EXP(-M$15*((($AA$6:$AA$65-$I20)&gt;0)*($AA$6:$AA$65-$I20))))/SUMPRODUCT($B$6:$B$65*EXP(-M$15*((($AA$6:$AA$65-$I20)&gt;0)*($AA$6:$AA$65-$I20)))*EXP(-M$15*((($AA$6:$AA$65-$I20)&gt;0)*($AA$6:$AA$65-$I20))))))*EXP(-M$15*((($AA$6:$AA$65-$I20)&gt;0)*($AA$6:$AA$65-$I20)))-$AB$6:$AB$65)^2))</f>
        <v/>
      </c>
      <c r="N20" s="18">
        <f>IF(OR(COUNTIF($D$6:$D$65,"&lt;"&amp;$I20)&lt;$I$5,COUNTIF($D$6:$D$65,"&gt;="&amp;$I20)&lt;$I$6,(MAX($D$6:$D$65)-$I20)/(MAX($D$6:$D$65)-MIN($D$6:$D$65))&lt;$I$7),"",SUMPRODUCT($B$6:$B$65*(((SUMPRODUCT($B$6:$B$65*$AB$6:$AB$65*EXP(-N$15*((($AA$6:$AA$65-$I20)&gt;0)*($AA$6:$AA$65-$I20))))/SUMPRODUCT($B$6:$B$65*EXP(-N$15*((($AA$6:$AA$65-$I20)&gt;0)*($AA$6:$AA$65-$I20)))*EXP(-N$15*((($AA$6:$AA$65-$I20)&gt;0)*($AA$6:$AA$65-$I20))))))*EXP(-N$15*((($AA$6:$AA$65-$I20)&gt;0)*($AA$6:$AA$65-$I20)))-$AB$6:$AB$65)^2))</f>
        <v/>
      </c>
      <c r="O20" s="18">
        <f>IF(OR(COUNTIF($D$6:$D$65,"&lt;"&amp;$I20)&lt;$I$5,COUNTIF($D$6:$D$65,"&gt;="&amp;$I20)&lt;$I$6,(MAX($D$6:$D$65)-$I20)/(MAX($D$6:$D$65)-MIN($D$6:$D$65))&lt;$I$7),"",SUMPRODUCT($B$6:$B$65*(((SUMPRODUCT($B$6:$B$65*$AB$6:$AB$65*EXP(-O$15*((($AA$6:$AA$65-$I20)&gt;0)*($AA$6:$AA$65-$I20))))/SUMPRODUCT($B$6:$B$65*EXP(-O$15*((($AA$6:$AA$65-$I20)&gt;0)*($AA$6:$AA$65-$I20)))*EXP(-O$15*((($AA$6:$AA$65-$I20)&gt;0)*($AA$6:$AA$65-$I20))))))*EXP(-O$15*((($AA$6:$AA$65-$I20)&gt;0)*($AA$6:$AA$65-$I20)))-$AB$6:$AB$65)^2))</f>
        <v/>
      </c>
      <c r="P20" s="18">
        <f>IF(OR(COUNTIF($D$6:$D$65,"&lt;"&amp;$I20)&lt;$I$5,COUNTIF($D$6:$D$65,"&gt;="&amp;$I20)&lt;$I$6,(MAX($D$6:$D$65)-$I20)/(MAX($D$6:$D$65)-MIN($D$6:$D$65))&lt;$I$7),"",SUMPRODUCT($B$6:$B$65*(((SUMPRODUCT($B$6:$B$65*$AB$6:$AB$65*EXP(-P$15*((($AA$6:$AA$65-$I20)&gt;0)*($AA$6:$AA$65-$I20))))/SUMPRODUCT($B$6:$B$65*EXP(-P$15*((($AA$6:$AA$65-$I20)&gt;0)*($AA$6:$AA$65-$I20)))*EXP(-P$15*((($AA$6:$AA$65-$I20)&gt;0)*($AA$6:$AA$65-$I20))))))*EXP(-P$15*((($AA$6:$AA$65-$I20)&gt;0)*($AA$6:$AA$65-$I20)))-$AB$6:$AB$65)^2))</f>
        <v/>
      </c>
      <c r="Q20" s="18">
        <f>IF(OR(COUNTIF($D$6:$D$65,"&lt;"&amp;$I20)&lt;$I$5,COUNTIF($D$6:$D$65,"&gt;="&amp;$I20)&lt;$I$6,(MAX($D$6:$D$65)-$I20)/(MAX($D$6:$D$65)-MIN($D$6:$D$65))&lt;$I$7),"",SUMPRODUCT($B$6:$B$65*(((SUMPRODUCT($B$6:$B$65*$AB$6:$AB$65*EXP(-Q$15*((($AA$6:$AA$65-$I20)&gt;0)*($AA$6:$AA$65-$I20))))/SUMPRODUCT($B$6:$B$65*EXP(-Q$15*((($AA$6:$AA$65-$I20)&gt;0)*($AA$6:$AA$65-$I20)))*EXP(-Q$15*((($AA$6:$AA$65-$I20)&gt;0)*($AA$6:$AA$65-$I20))))))*EXP(-Q$15*((($AA$6:$AA$65-$I20)&gt;0)*($AA$6:$AA$65-$I20)))-$AB$6:$AB$65)^2))</f>
        <v/>
      </c>
      <c r="R20" s="18">
        <f>IF(OR(COUNTIF($D$6:$D$65,"&lt;"&amp;$I20)&lt;$I$5,COUNTIF($D$6:$D$65,"&gt;="&amp;$I20)&lt;$I$6,(MAX($D$6:$D$65)-$I20)/(MAX($D$6:$D$65)-MIN($D$6:$D$65))&lt;$I$7),"",SUMPRODUCT($B$6:$B$65*(((SUMPRODUCT($B$6:$B$65*$AB$6:$AB$65*EXP(-R$15*((($AA$6:$AA$65-$I20)&gt;0)*($AA$6:$AA$65-$I20))))/SUMPRODUCT($B$6:$B$65*EXP(-R$15*((($AA$6:$AA$65-$I20)&gt;0)*($AA$6:$AA$65-$I20)))*EXP(-R$15*((($AA$6:$AA$65-$I20)&gt;0)*($AA$6:$AA$65-$I20))))))*EXP(-R$15*((($AA$6:$AA$65-$I20)&gt;0)*($AA$6:$AA$65-$I20)))-$AB$6:$AB$65)^2))</f>
        <v/>
      </c>
      <c r="S20" s="18">
        <f>IF(OR(COUNTIF($D$6:$D$65,"&lt;"&amp;$I20)&lt;$I$5,COUNTIF($D$6:$D$65,"&gt;="&amp;$I20)&lt;$I$6,(MAX($D$6:$D$65)-$I20)/(MAX($D$6:$D$65)-MIN($D$6:$D$65))&lt;$I$7),"",SUMPRODUCT($B$6:$B$65*(((SUMPRODUCT($B$6:$B$65*$AB$6:$AB$65*EXP(-S$15*((($AA$6:$AA$65-$I20)&gt;0)*($AA$6:$AA$65-$I20))))/SUMPRODUCT($B$6:$B$65*EXP(-S$15*((($AA$6:$AA$65-$I20)&gt;0)*($AA$6:$AA$65-$I20)))*EXP(-S$15*((($AA$6:$AA$65-$I20)&gt;0)*($AA$6:$AA$65-$I20))))))*EXP(-S$15*((($AA$6:$AA$65-$I20)&gt;0)*($AA$6:$AA$65-$I20)))-$AB$6:$AB$65)^2))</f>
        <v/>
      </c>
      <c r="T20" s="18">
        <f>IF(OR(COUNTIF($D$6:$D$65,"&lt;"&amp;$I20)&lt;$I$5,COUNTIF($D$6:$D$65,"&gt;="&amp;$I20)&lt;$I$6,(MAX($D$6:$D$65)-$I20)/(MAX($D$6:$D$65)-MIN($D$6:$D$65))&lt;$I$7),"",SUMPRODUCT($B$6:$B$65*(((SUMPRODUCT($B$6:$B$65*$AB$6:$AB$65*EXP(-T$15*((($AA$6:$AA$65-$I20)&gt;0)*($AA$6:$AA$65-$I20))))/SUMPRODUCT($B$6:$B$65*EXP(-T$15*((($AA$6:$AA$65-$I20)&gt;0)*($AA$6:$AA$65-$I20)))*EXP(-T$15*((($AA$6:$AA$65-$I20)&gt;0)*($AA$6:$AA$65-$I20))))))*EXP(-T$15*((($AA$6:$AA$65-$I20)&gt;0)*($AA$6:$AA$65-$I20)))-$AB$6:$AB$65)^2))</f>
        <v/>
      </c>
      <c r="U20" s="18">
        <f>IF(OR(COUNTIF($D$6:$D$65,"&lt;"&amp;$I20)&lt;$I$5,COUNTIF($D$6:$D$65,"&gt;="&amp;$I20)&lt;$I$6,(MAX($D$6:$D$65)-$I20)/(MAX($D$6:$D$65)-MIN($D$6:$D$65))&lt;$I$7),"",SUMPRODUCT($B$6:$B$65*(((SUMPRODUCT($B$6:$B$65*$AB$6:$AB$65*EXP(-U$15*((($AA$6:$AA$65-$I20)&gt;0)*($AA$6:$AA$65-$I20))))/SUMPRODUCT($B$6:$B$65*EXP(-U$15*((($AA$6:$AA$65-$I20)&gt;0)*($AA$6:$AA$65-$I20)))*EXP(-U$15*((($AA$6:$AA$65-$I20)&gt;0)*($AA$6:$AA$65-$I20))))))*EXP(-U$15*((($AA$6:$AA$65-$I20)&gt;0)*($AA$6:$AA$65-$I20)))-$AB$6:$AB$65)^2))</f>
        <v/>
      </c>
      <c r="V20" s="18">
        <f>IF(COUNT(J20:U20)=0,"",MIN(J20:U20))</f>
        <v/>
      </c>
      <c r="W20" s="6">
        <f>IF(COUNT(J20:U20)=0,"",MATCH(V20,J20:U20,0))</f>
        <v/>
      </c>
      <c r="AA20" s="12">
        <f>IF(ISNUMBER(D20),D20,0)</f>
        <v/>
      </c>
      <c r="AB20" s="13">
        <f>IF(ISNUMBER(E20),E20,0)</f>
        <v/>
      </c>
    </row>
    <row r="21">
      <c r="A21" s="6" t="n">
        <v>16</v>
      </c>
      <c r="B21" s="8" t="n">
        <v>12111</v>
      </c>
      <c r="C21" s="9" t="n">
        <v>237</v>
      </c>
      <c r="D21" s="10" t="n">
        <v>2.0939</v>
      </c>
      <c r="E21" s="11">
        <f>IF(B21&gt;0,C21/B21,"")</f>
        <v/>
      </c>
      <c r="F21" s="8" t="n"/>
      <c r="I21" s="17">
        <f>MIN($D$6:$D$65)+(MAX($D$6:$D$65)-MIN($D$6:$D$65))*0.5444</f>
        <v/>
      </c>
      <c r="J21" s="18">
        <f>IF(OR(COUNTIF($D$6:$D$65,"&lt;"&amp;$I21)&lt;$I$5,COUNTIF($D$6:$D$65,"&gt;="&amp;$I21)&lt;$I$6,(MAX($D$6:$D$65)-$I21)/(MAX($D$6:$D$65)-MIN($D$6:$D$65))&lt;$I$7),"",SUMPRODUCT($B$6:$B$65*(((SUMPRODUCT($B$6:$B$65*$AB$6:$AB$65*EXP(-J$15*((($AA$6:$AA$65-$I21)&gt;0)*($AA$6:$AA$65-$I21))))/SUMPRODUCT($B$6:$B$65*EXP(-J$15*((($AA$6:$AA$65-$I21)&gt;0)*($AA$6:$AA$65-$I21)))*EXP(-J$15*((($AA$6:$AA$65-$I21)&gt;0)*($AA$6:$AA$65-$I21))))))*EXP(-J$15*((($AA$6:$AA$65-$I21)&gt;0)*($AA$6:$AA$65-$I21)))-$AB$6:$AB$65)^2))</f>
        <v/>
      </c>
      <c r="K21" s="18">
        <f>IF(OR(COUNTIF($D$6:$D$65,"&lt;"&amp;$I21)&lt;$I$5,COUNTIF($D$6:$D$65,"&gt;="&amp;$I21)&lt;$I$6,(MAX($D$6:$D$65)-$I21)/(MAX($D$6:$D$65)-MIN($D$6:$D$65))&lt;$I$7),"",SUMPRODUCT($B$6:$B$65*(((SUMPRODUCT($B$6:$B$65*$AB$6:$AB$65*EXP(-K$15*((($AA$6:$AA$65-$I21)&gt;0)*($AA$6:$AA$65-$I21))))/SUMPRODUCT($B$6:$B$65*EXP(-K$15*((($AA$6:$AA$65-$I21)&gt;0)*($AA$6:$AA$65-$I21)))*EXP(-K$15*((($AA$6:$AA$65-$I21)&gt;0)*($AA$6:$AA$65-$I21))))))*EXP(-K$15*((($AA$6:$AA$65-$I21)&gt;0)*($AA$6:$AA$65-$I21)))-$AB$6:$AB$65)^2))</f>
        <v/>
      </c>
      <c r="L21" s="18">
        <f>IF(OR(COUNTIF($D$6:$D$65,"&lt;"&amp;$I21)&lt;$I$5,COUNTIF($D$6:$D$65,"&gt;="&amp;$I21)&lt;$I$6,(MAX($D$6:$D$65)-$I21)/(MAX($D$6:$D$65)-MIN($D$6:$D$65))&lt;$I$7),"",SUMPRODUCT($B$6:$B$65*(((SUMPRODUCT($B$6:$B$65*$AB$6:$AB$65*EXP(-L$15*((($AA$6:$AA$65-$I21)&gt;0)*($AA$6:$AA$65-$I21))))/SUMPRODUCT($B$6:$B$65*EXP(-L$15*((($AA$6:$AA$65-$I21)&gt;0)*($AA$6:$AA$65-$I21)))*EXP(-L$15*((($AA$6:$AA$65-$I21)&gt;0)*($AA$6:$AA$65-$I21))))))*EXP(-L$15*((($AA$6:$AA$65-$I21)&gt;0)*($AA$6:$AA$65-$I21)))-$AB$6:$AB$65)^2))</f>
        <v/>
      </c>
      <c r="M21" s="18">
        <f>IF(OR(COUNTIF($D$6:$D$65,"&lt;"&amp;$I21)&lt;$I$5,COUNTIF($D$6:$D$65,"&gt;="&amp;$I21)&lt;$I$6,(MAX($D$6:$D$65)-$I21)/(MAX($D$6:$D$65)-MIN($D$6:$D$65))&lt;$I$7),"",SUMPRODUCT($B$6:$B$65*(((SUMPRODUCT($B$6:$B$65*$AB$6:$AB$65*EXP(-M$15*((($AA$6:$AA$65-$I21)&gt;0)*($AA$6:$AA$65-$I21))))/SUMPRODUCT($B$6:$B$65*EXP(-M$15*((($AA$6:$AA$65-$I21)&gt;0)*($AA$6:$AA$65-$I21)))*EXP(-M$15*((($AA$6:$AA$65-$I21)&gt;0)*($AA$6:$AA$65-$I21))))))*EXP(-M$15*((($AA$6:$AA$65-$I21)&gt;0)*($AA$6:$AA$65-$I21)))-$AB$6:$AB$65)^2))</f>
        <v/>
      </c>
      <c r="N21" s="18">
        <f>IF(OR(COUNTIF($D$6:$D$65,"&lt;"&amp;$I21)&lt;$I$5,COUNTIF($D$6:$D$65,"&gt;="&amp;$I21)&lt;$I$6,(MAX($D$6:$D$65)-$I21)/(MAX($D$6:$D$65)-MIN($D$6:$D$65))&lt;$I$7),"",SUMPRODUCT($B$6:$B$65*(((SUMPRODUCT($B$6:$B$65*$AB$6:$AB$65*EXP(-N$15*((($AA$6:$AA$65-$I21)&gt;0)*($AA$6:$AA$65-$I21))))/SUMPRODUCT($B$6:$B$65*EXP(-N$15*((($AA$6:$AA$65-$I21)&gt;0)*($AA$6:$AA$65-$I21)))*EXP(-N$15*((($AA$6:$AA$65-$I21)&gt;0)*($AA$6:$AA$65-$I21))))))*EXP(-N$15*((($AA$6:$AA$65-$I21)&gt;0)*($AA$6:$AA$65-$I21)))-$AB$6:$AB$65)^2))</f>
        <v/>
      </c>
      <c r="O21" s="18">
        <f>IF(OR(COUNTIF($D$6:$D$65,"&lt;"&amp;$I21)&lt;$I$5,COUNTIF($D$6:$D$65,"&gt;="&amp;$I21)&lt;$I$6,(MAX($D$6:$D$65)-$I21)/(MAX($D$6:$D$65)-MIN($D$6:$D$65))&lt;$I$7),"",SUMPRODUCT($B$6:$B$65*(((SUMPRODUCT($B$6:$B$65*$AB$6:$AB$65*EXP(-O$15*((($AA$6:$AA$65-$I21)&gt;0)*($AA$6:$AA$65-$I21))))/SUMPRODUCT($B$6:$B$65*EXP(-O$15*((($AA$6:$AA$65-$I21)&gt;0)*($AA$6:$AA$65-$I21)))*EXP(-O$15*((($AA$6:$AA$65-$I21)&gt;0)*($AA$6:$AA$65-$I21))))))*EXP(-O$15*((($AA$6:$AA$65-$I21)&gt;0)*($AA$6:$AA$65-$I21)))-$AB$6:$AB$65)^2))</f>
        <v/>
      </c>
      <c r="P21" s="18">
        <f>IF(OR(COUNTIF($D$6:$D$65,"&lt;"&amp;$I21)&lt;$I$5,COUNTIF($D$6:$D$65,"&gt;="&amp;$I21)&lt;$I$6,(MAX($D$6:$D$65)-$I21)/(MAX($D$6:$D$65)-MIN($D$6:$D$65))&lt;$I$7),"",SUMPRODUCT($B$6:$B$65*(((SUMPRODUCT($B$6:$B$65*$AB$6:$AB$65*EXP(-P$15*((($AA$6:$AA$65-$I21)&gt;0)*($AA$6:$AA$65-$I21))))/SUMPRODUCT($B$6:$B$65*EXP(-P$15*((($AA$6:$AA$65-$I21)&gt;0)*($AA$6:$AA$65-$I21)))*EXP(-P$15*((($AA$6:$AA$65-$I21)&gt;0)*($AA$6:$AA$65-$I21))))))*EXP(-P$15*((($AA$6:$AA$65-$I21)&gt;0)*($AA$6:$AA$65-$I21)))-$AB$6:$AB$65)^2))</f>
        <v/>
      </c>
      <c r="Q21" s="18">
        <f>IF(OR(COUNTIF($D$6:$D$65,"&lt;"&amp;$I21)&lt;$I$5,COUNTIF($D$6:$D$65,"&gt;="&amp;$I21)&lt;$I$6,(MAX($D$6:$D$65)-$I21)/(MAX($D$6:$D$65)-MIN($D$6:$D$65))&lt;$I$7),"",SUMPRODUCT($B$6:$B$65*(((SUMPRODUCT($B$6:$B$65*$AB$6:$AB$65*EXP(-Q$15*((($AA$6:$AA$65-$I21)&gt;0)*($AA$6:$AA$65-$I21))))/SUMPRODUCT($B$6:$B$65*EXP(-Q$15*((($AA$6:$AA$65-$I21)&gt;0)*($AA$6:$AA$65-$I21)))*EXP(-Q$15*((($AA$6:$AA$65-$I21)&gt;0)*($AA$6:$AA$65-$I21))))))*EXP(-Q$15*((($AA$6:$AA$65-$I21)&gt;0)*($AA$6:$AA$65-$I21)))-$AB$6:$AB$65)^2))</f>
        <v/>
      </c>
      <c r="R21" s="18">
        <f>IF(OR(COUNTIF($D$6:$D$65,"&lt;"&amp;$I21)&lt;$I$5,COUNTIF($D$6:$D$65,"&gt;="&amp;$I21)&lt;$I$6,(MAX($D$6:$D$65)-$I21)/(MAX($D$6:$D$65)-MIN($D$6:$D$65))&lt;$I$7),"",SUMPRODUCT($B$6:$B$65*(((SUMPRODUCT($B$6:$B$65*$AB$6:$AB$65*EXP(-R$15*((($AA$6:$AA$65-$I21)&gt;0)*($AA$6:$AA$65-$I21))))/SUMPRODUCT($B$6:$B$65*EXP(-R$15*((($AA$6:$AA$65-$I21)&gt;0)*($AA$6:$AA$65-$I21)))*EXP(-R$15*((($AA$6:$AA$65-$I21)&gt;0)*($AA$6:$AA$65-$I21))))))*EXP(-R$15*((($AA$6:$AA$65-$I21)&gt;0)*($AA$6:$AA$65-$I21)))-$AB$6:$AB$65)^2))</f>
        <v/>
      </c>
      <c r="S21" s="18">
        <f>IF(OR(COUNTIF($D$6:$D$65,"&lt;"&amp;$I21)&lt;$I$5,COUNTIF($D$6:$D$65,"&gt;="&amp;$I21)&lt;$I$6,(MAX($D$6:$D$65)-$I21)/(MAX($D$6:$D$65)-MIN($D$6:$D$65))&lt;$I$7),"",SUMPRODUCT($B$6:$B$65*(((SUMPRODUCT($B$6:$B$65*$AB$6:$AB$65*EXP(-S$15*((($AA$6:$AA$65-$I21)&gt;0)*($AA$6:$AA$65-$I21))))/SUMPRODUCT($B$6:$B$65*EXP(-S$15*((($AA$6:$AA$65-$I21)&gt;0)*($AA$6:$AA$65-$I21)))*EXP(-S$15*((($AA$6:$AA$65-$I21)&gt;0)*($AA$6:$AA$65-$I21))))))*EXP(-S$15*((($AA$6:$AA$65-$I21)&gt;0)*($AA$6:$AA$65-$I21)))-$AB$6:$AB$65)^2))</f>
        <v/>
      </c>
      <c r="T21" s="18">
        <f>IF(OR(COUNTIF($D$6:$D$65,"&lt;"&amp;$I21)&lt;$I$5,COUNTIF($D$6:$D$65,"&gt;="&amp;$I21)&lt;$I$6,(MAX($D$6:$D$65)-$I21)/(MAX($D$6:$D$65)-MIN($D$6:$D$65))&lt;$I$7),"",SUMPRODUCT($B$6:$B$65*(((SUMPRODUCT($B$6:$B$65*$AB$6:$AB$65*EXP(-T$15*((($AA$6:$AA$65-$I21)&gt;0)*($AA$6:$AA$65-$I21))))/SUMPRODUCT($B$6:$B$65*EXP(-T$15*((($AA$6:$AA$65-$I21)&gt;0)*($AA$6:$AA$65-$I21)))*EXP(-T$15*((($AA$6:$AA$65-$I21)&gt;0)*($AA$6:$AA$65-$I21))))))*EXP(-T$15*((($AA$6:$AA$65-$I21)&gt;0)*($AA$6:$AA$65-$I21)))-$AB$6:$AB$65)^2))</f>
        <v/>
      </c>
      <c r="U21" s="18">
        <f>IF(OR(COUNTIF($D$6:$D$65,"&lt;"&amp;$I21)&lt;$I$5,COUNTIF($D$6:$D$65,"&gt;="&amp;$I21)&lt;$I$6,(MAX($D$6:$D$65)-$I21)/(MAX($D$6:$D$65)-MIN($D$6:$D$65))&lt;$I$7),"",SUMPRODUCT($B$6:$B$65*(((SUMPRODUCT($B$6:$B$65*$AB$6:$AB$65*EXP(-U$15*((($AA$6:$AA$65-$I21)&gt;0)*($AA$6:$AA$65-$I21))))/SUMPRODUCT($B$6:$B$65*EXP(-U$15*((($AA$6:$AA$65-$I21)&gt;0)*($AA$6:$AA$65-$I21)))*EXP(-U$15*((($AA$6:$AA$65-$I21)&gt;0)*($AA$6:$AA$65-$I21))))))*EXP(-U$15*((($AA$6:$AA$65-$I21)&gt;0)*($AA$6:$AA$65-$I21)))-$AB$6:$AB$65)^2))</f>
        <v/>
      </c>
      <c r="V21" s="18">
        <f>IF(COUNT(J21:U21)=0,"",MIN(J21:U21))</f>
        <v/>
      </c>
      <c r="W21" s="6">
        <f>IF(COUNT(J21:U21)=0,"",MATCH(V21,J21:U21,0))</f>
        <v/>
      </c>
      <c r="AA21" s="12">
        <f>IF(ISNUMBER(D21),D21,0)</f>
        <v/>
      </c>
      <c r="AB21" s="13">
        <f>IF(ISNUMBER(E21),E21,0)</f>
        <v/>
      </c>
    </row>
    <row r="22">
      <c r="A22" s="6" t="n">
        <v>17</v>
      </c>
      <c r="B22" s="8" t="n">
        <v>11903</v>
      </c>
      <c r="C22" s="9" t="n">
        <v>199</v>
      </c>
      <c r="D22" s="10" t="n">
        <v>2.202289</v>
      </c>
      <c r="E22" s="11">
        <f>IF(B22&gt;0,C22/B22,"")</f>
        <v/>
      </c>
      <c r="F22" s="8" t="n"/>
      <c r="I22" s="17">
        <f>MIN($D$6:$D$65)+(MAX($D$6:$D$65)-MIN($D$6:$D$65))*0.6333</f>
        <v/>
      </c>
      <c r="J22" s="18">
        <f>IF(OR(COUNTIF($D$6:$D$65,"&lt;"&amp;$I22)&lt;$I$5,COUNTIF($D$6:$D$65,"&gt;="&amp;$I22)&lt;$I$6,(MAX($D$6:$D$65)-$I22)/(MAX($D$6:$D$65)-MIN($D$6:$D$65))&lt;$I$7),"",SUMPRODUCT($B$6:$B$65*(((SUMPRODUCT($B$6:$B$65*$AB$6:$AB$65*EXP(-J$15*((($AA$6:$AA$65-$I22)&gt;0)*($AA$6:$AA$65-$I22))))/SUMPRODUCT($B$6:$B$65*EXP(-J$15*((($AA$6:$AA$65-$I22)&gt;0)*($AA$6:$AA$65-$I22)))*EXP(-J$15*((($AA$6:$AA$65-$I22)&gt;0)*($AA$6:$AA$65-$I22))))))*EXP(-J$15*((($AA$6:$AA$65-$I22)&gt;0)*($AA$6:$AA$65-$I22)))-$AB$6:$AB$65)^2))</f>
        <v/>
      </c>
      <c r="K22" s="18">
        <f>IF(OR(COUNTIF($D$6:$D$65,"&lt;"&amp;$I22)&lt;$I$5,COUNTIF($D$6:$D$65,"&gt;="&amp;$I22)&lt;$I$6,(MAX($D$6:$D$65)-$I22)/(MAX($D$6:$D$65)-MIN($D$6:$D$65))&lt;$I$7),"",SUMPRODUCT($B$6:$B$65*(((SUMPRODUCT($B$6:$B$65*$AB$6:$AB$65*EXP(-K$15*((($AA$6:$AA$65-$I22)&gt;0)*($AA$6:$AA$65-$I22))))/SUMPRODUCT($B$6:$B$65*EXP(-K$15*((($AA$6:$AA$65-$I22)&gt;0)*($AA$6:$AA$65-$I22)))*EXP(-K$15*((($AA$6:$AA$65-$I22)&gt;0)*($AA$6:$AA$65-$I22))))))*EXP(-K$15*((($AA$6:$AA$65-$I22)&gt;0)*($AA$6:$AA$65-$I22)))-$AB$6:$AB$65)^2))</f>
        <v/>
      </c>
      <c r="L22" s="18">
        <f>IF(OR(COUNTIF($D$6:$D$65,"&lt;"&amp;$I22)&lt;$I$5,COUNTIF($D$6:$D$65,"&gt;="&amp;$I22)&lt;$I$6,(MAX($D$6:$D$65)-$I22)/(MAX($D$6:$D$65)-MIN($D$6:$D$65))&lt;$I$7),"",SUMPRODUCT($B$6:$B$65*(((SUMPRODUCT($B$6:$B$65*$AB$6:$AB$65*EXP(-L$15*((($AA$6:$AA$65-$I22)&gt;0)*($AA$6:$AA$65-$I22))))/SUMPRODUCT($B$6:$B$65*EXP(-L$15*((($AA$6:$AA$65-$I22)&gt;0)*($AA$6:$AA$65-$I22)))*EXP(-L$15*((($AA$6:$AA$65-$I22)&gt;0)*($AA$6:$AA$65-$I22))))))*EXP(-L$15*((($AA$6:$AA$65-$I22)&gt;0)*($AA$6:$AA$65-$I22)))-$AB$6:$AB$65)^2))</f>
        <v/>
      </c>
      <c r="M22" s="18">
        <f>IF(OR(COUNTIF($D$6:$D$65,"&lt;"&amp;$I22)&lt;$I$5,COUNTIF($D$6:$D$65,"&gt;="&amp;$I22)&lt;$I$6,(MAX($D$6:$D$65)-$I22)/(MAX($D$6:$D$65)-MIN($D$6:$D$65))&lt;$I$7),"",SUMPRODUCT($B$6:$B$65*(((SUMPRODUCT($B$6:$B$65*$AB$6:$AB$65*EXP(-M$15*((($AA$6:$AA$65-$I22)&gt;0)*($AA$6:$AA$65-$I22))))/SUMPRODUCT($B$6:$B$65*EXP(-M$15*((($AA$6:$AA$65-$I22)&gt;0)*($AA$6:$AA$65-$I22)))*EXP(-M$15*((($AA$6:$AA$65-$I22)&gt;0)*($AA$6:$AA$65-$I22))))))*EXP(-M$15*((($AA$6:$AA$65-$I22)&gt;0)*($AA$6:$AA$65-$I22)))-$AB$6:$AB$65)^2))</f>
        <v/>
      </c>
      <c r="N22" s="18">
        <f>IF(OR(COUNTIF($D$6:$D$65,"&lt;"&amp;$I22)&lt;$I$5,COUNTIF($D$6:$D$65,"&gt;="&amp;$I22)&lt;$I$6,(MAX($D$6:$D$65)-$I22)/(MAX($D$6:$D$65)-MIN($D$6:$D$65))&lt;$I$7),"",SUMPRODUCT($B$6:$B$65*(((SUMPRODUCT($B$6:$B$65*$AB$6:$AB$65*EXP(-N$15*((($AA$6:$AA$65-$I22)&gt;0)*($AA$6:$AA$65-$I22))))/SUMPRODUCT($B$6:$B$65*EXP(-N$15*((($AA$6:$AA$65-$I22)&gt;0)*($AA$6:$AA$65-$I22)))*EXP(-N$15*((($AA$6:$AA$65-$I22)&gt;0)*($AA$6:$AA$65-$I22))))))*EXP(-N$15*((($AA$6:$AA$65-$I22)&gt;0)*($AA$6:$AA$65-$I22)))-$AB$6:$AB$65)^2))</f>
        <v/>
      </c>
      <c r="O22" s="18">
        <f>IF(OR(COUNTIF($D$6:$D$65,"&lt;"&amp;$I22)&lt;$I$5,COUNTIF($D$6:$D$65,"&gt;="&amp;$I22)&lt;$I$6,(MAX($D$6:$D$65)-$I22)/(MAX($D$6:$D$65)-MIN($D$6:$D$65))&lt;$I$7),"",SUMPRODUCT($B$6:$B$65*(((SUMPRODUCT($B$6:$B$65*$AB$6:$AB$65*EXP(-O$15*((($AA$6:$AA$65-$I22)&gt;0)*($AA$6:$AA$65-$I22))))/SUMPRODUCT($B$6:$B$65*EXP(-O$15*((($AA$6:$AA$65-$I22)&gt;0)*($AA$6:$AA$65-$I22)))*EXP(-O$15*((($AA$6:$AA$65-$I22)&gt;0)*($AA$6:$AA$65-$I22))))))*EXP(-O$15*((($AA$6:$AA$65-$I22)&gt;0)*($AA$6:$AA$65-$I22)))-$AB$6:$AB$65)^2))</f>
        <v/>
      </c>
      <c r="P22" s="18">
        <f>IF(OR(COUNTIF($D$6:$D$65,"&lt;"&amp;$I22)&lt;$I$5,COUNTIF($D$6:$D$65,"&gt;="&amp;$I22)&lt;$I$6,(MAX($D$6:$D$65)-$I22)/(MAX($D$6:$D$65)-MIN($D$6:$D$65))&lt;$I$7),"",SUMPRODUCT($B$6:$B$65*(((SUMPRODUCT($B$6:$B$65*$AB$6:$AB$65*EXP(-P$15*((($AA$6:$AA$65-$I22)&gt;0)*($AA$6:$AA$65-$I22))))/SUMPRODUCT($B$6:$B$65*EXP(-P$15*((($AA$6:$AA$65-$I22)&gt;0)*($AA$6:$AA$65-$I22)))*EXP(-P$15*((($AA$6:$AA$65-$I22)&gt;0)*($AA$6:$AA$65-$I22))))))*EXP(-P$15*((($AA$6:$AA$65-$I22)&gt;0)*($AA$6:$AA$65-$I22)))-$AB$6:$AB$65)^2))</f>
        <v/>
      </c>
      <c r="Q22" s="18">
        <f>IF(OR(COUNTIF($D$6:$D$65,"&lt;"&amp;$I22)&lt;$I$5,COUNTIF($D$6:$D$65,"&gt;="&amp;$I22)&lt;$I$6,(MAX($D$6:$D$65)-$I22)/(MAX($D$6:$D$65)-MIN($D$6:$D$65))&lt;$I$7),"",SUMPRODUCT($B$6:$B$65*(((SUMPRODUCT($B$6:$B$65*$AB$6:$AB$65*EXP(-Q$15*((($AA$6:$AA$65-$I22)&gt;0)*($AA$6:$AA$65-$I22))))/SUMPRODUCT($B$6:$B$65*EXP(-Q$15*((($AA$6:$AA$65-$I22)&gt;0)*($AA$6:$AA$65-$I22)))*EXP(-Q$15*((($AA$6:$AA$65-$I22)&gt;0)*($AA$6:$AA$65-$I22))))))*EXP(-Q$15*((($AA$6:$AA$65-$I22)&gt;0)*($AA$6:$AA$65-$I22)))-$AB$6:$AB$65)^2))</f>
        <v/>
      </c>
      <c r="R22" s="18">
        <f>IF(OR(COUNTIF($D$6:$D$65,"&lt;"&amp;$I22)&lt;$I$5,COUNTIF($D$6:$D$65,"&gt;="&amp;$I22)&lt;$I$6,(MAX($D$6:$D$65)-$I22)/(MAX($D$6:$D$65)-MIN($D$6:$D$65))&lt;$I$7),"",SUMPRODUCT($B$6:$B$65*(((SUMPRODUCT($B$6:$B$65*$AB$6:$AB$65*EXP(-R$15*((($AA$6:$AA$65-$I22)&gt;0)*($AA$6:$AA$65-$I22))))/SUMPRODUCT($B$6:$B$65*EXP(-R$15*((($AA$6:$AA$65-$I22)&gt;0)*($AA$6:$AA$65-$I22)))*EXP(-R$15*((($AA$6:$AA$65-$I22)&gt;0)*($AA$6:$AA$65-$I22))))))*EXP(-R$15*((($AA$6:$AA$65-$I22)&gt;0)*($AA$6:$AA$65-$I22)))-$AB$6:$AB$65)^2))</f>
        <v/>
      </c>
      <c r="S22" s="18">
        <f>IF(OR(COUNTIF($D$6:$D$65,"&lt;"&amp;$I22)&lt;$I$5,COUNTIF($D$6:$D$65,"&gt;="&amp;$I22)&lt;$I$6,(MAX($D$6:$D$65)-$I22)/(MAX($D$6:$D$65)-MIN($D$6:$D$65))&lt;$I$7),"",SUMPRODUCT($B$6:$B$65*(((SUMPRODUCT($B$6:$B$65*$AB$6:$AB$65*EXP(-S$15*((($AA$6:$AA$65-$I22)&gt;0)*($AA$6:$AA$65-$I22))))/SUMPRODUCT($B$6:$B$65*EXP(-S$15*((($AA$6:$AA$65-$I22)&gt;0)*($AA$6:$AA$65-$I22)))*EXP(-S$15*((($AA$6:$AA$65-$I22)&gt;0)*($AA$6:$AA$65-$I22))))))*EXP(-S$15*((($AA$6:$AA$65-$I22)&gt;0)*($AA$6:$AA$65-$I22)))-$AB$6:$AB$65)^2))</f>
        <v/>
      </c>
      <c r="T22" s="18">
        <f>IF(OR(COUNTIF($D$6:$D$65,"&lt;"&amp;$I22)&lt;$I$5,COUNTIF($D$6:$D$65,"&gt;="&amp;$I22)&lt;$I$6,(MAX($D$6:$D$65)-$I22)/(MAX($D$6:$D$65)-MIN($D$6:$D$65))&lt;$I$7),"",SUMPRODUCT($B$6:$B$65*(((SUMPRODUCT($B$6:$B$65*$AB$6:$AB$65*EXP(-T$15*((($AA$6:$AA$65-$I22)&gt;0)*($AA$6:$AA$65-$I22))))/SUMPRODUCT($B$6:$B$65*EXP(-T$15*((($AA$6:$AA$65-$I22)&gt;0)*($AA$6:$AA$65-$I22)))*EXP(-T$15*((($AA$6:$AA$65-$I22)&gt;0)*($AA$6:$AA$65-$I22))))))*EXP(-T$15*((($AA$6:$AA$65-$I22)&gt;0)*($AA$6:$AA$65-$I22)))-$AB$6:$AB$65)^2))</f>
        <v/>
      </c>
      <c r="U22" s="18">
        <f>IF(OR(COUNTIF($D$6:$D$65,"&lt;"&amp;$I22)&lt;$I$5,COUNTIF($D$6:$D$65,"&gt;="&amp;$I22)&lt;$I$6,(MAX($D$6:$D$65)-$I22)/(MAX($D$6:$D$65)-MIN($D$6:$D$65))&lt;$I$7),"",SUMPRODUCT($B$6:$B$65*(((SUMPRODUCT($B$6:$B$65*$AB$6:$AB$65*EXP(-U$15*((($AA$6:$AA$65-$I22)&gt;0)*($AA$6:$AA$65-$I22))))/SUMPRODUCT($B$6:$B$65*EXP(-U$15*((($AA$6:$AA$65-$I22)&gt;0)*($AA$6:$AA$65-$I22)))*EXP(-U$15*((($AA$6:$AA$65-$I22)&gt;0)*($AA$6:$AA$65-$I22))))))*EXP(-U$15*((($AA$6:$AA$65-$I22)&gt;0)*($AA$6:$AA$65-$I22)))-$AB$6:$AB$65)^2))</f>
        <v/>
      </c>
      <c r="V22" s="18">
        <f>IF(COUNT(J22:U22)=0,"",MIN(J22:U22))</f>
        <v/>
      </c>
      <c r="W22" s="6">
        <f>IF(COUNT(J22:U22)=0,"",MATCH(V22,J22:U22,0))</f>
        <v/>
      </c>
      <c r="AA22" s="12">
        <f>IF(ISNUMBER(D22),D22,0)</f>
        <v/>
      </c>
      <c r="AB22" s="13">
        <f>IF(ISNUMBER(E22),E22,0)</f>
        <v/>
      </c>
    </row>
    <row r="23">
      <c r="A23" s="6" t="n">
        <v>18</v>
      </c>
      <c r="B23" s="8" t="n">
        <v>11959</v>
      </c>
      <c r="C23" s="9" t="n">
        <v>231</v>
      </c>
      <c r="D23" s="10" t="n">
        <v>2.274878</v>
      </c>
      <c r="E23" s="11">
        <f>IF(B23&gt;0,C23/B23,"")</f>
        <v/>
      </c>
      <c r="F23" s="8" t="n"/>
      <c r="I23" s="17">
        <f>MIN($D$6:$D$65)+(MAX($D$6:$D$65)-MIN($D$6:$D$65))*0.7222</f>
        <v/>
      </c>
      <c r="J23" s="18">
        <f>IF(OR(COUNTIF($D$6:$D$65,"&lt;"&amp;$I23)&lt;$I$5,COUNTIF($D$6:$D$65,"&gt;="&amp;$I23)&lt;$I$6,(MAX($D$6:$D$65)-$I23)/(MAX($D$6:$D$65)-MIN($D$6:$D$65))&lt;$I$7),"",SUMPRODUCT($B$6:$B$65*(((SUMPRODUCT($B$6:$B$65*$AB$6:$AB$65*EXP(-J$15*((($AA$6:$AA$65-$I23)&gt;0)*($AA$6:$AA$65-$I23))))/SUMPRODUCT($B$6:$B$65*EXP(-J$15*((($AA$6:$AA$65-$I23)&gt;0)*($AA$6:$AA$65-$I23)))*EXP(-J$15*((($AA$6:$AA$65-$I23)&gt;0)*($AA$6:$AA$65-$I23))))))*EXP(-J$15*((($AA$6:$AA$65-$I23)&gt;0)*($AA$6:$AA$65-$I23)))-$AB$6:$AB$65)^2))</f>
        <v/>
      </c>
      <c r="K23" s="18">
        <f>IF(OR(COUNTIF($D$6:$D$65,"&lt;"&amp;$I23)&lt;$I$5,COUNTIF($D$6:$D$65,"&gt;="&amp;$I23)&lt;$I$6,(MAX($D$6:$D$65)-$I23)/(MAX($D$6:$D$65)-MIN($D$6:$D$65))&lt;$I$7),"",SUMPRODUCT($B$6:$B$65*(((SUMPRODUCT($B$6:$B$65*$AB$6:$AB$65*EXP(-K$15*((($AA$6:$AA$65-$I23)&gt;0)*($AA$6:$AA$65-$I23))))/SUMPRODUCT($B$6:$B$65*EXP(-K$15*((($AA$6:$AA$65-$I23)&gt;0)*($AA$6:$AA$65-$I23)))*EXP(-K$15*((($AA$6:$AA$65-$I23)&gt;0)*($AA$6:$AA$65-$I23))))))*EXP(-K$15*((($AA$6:$AA$65-$I23)&gt;0)*($AA$6:$AA$65-$I23)))-$AB$6:$AB$65)^2))</f>
        <v/>
      </c>
      <c r="L23" s="18">
        <f>IF(OR(COUNTIF($D$6:$D$65,"&lt;"&amp;$I23)&lt;$I$5,COUNTIF($D$6:$D$65,"&gt;="&amp;$I23)&lt;$I$6,(MAX($D$6:$D$65)-$I23)/(MAX($D$6:$D$65)-MIN($D$6:$D$65))&lt;$I$7),"",SUMPRODUCT($B$6:$B$65*(((SUMPRODUCT($B$6:$B$65*$AB$6:$AB$65*EXP(-L$15*((($AA$6:$AA$65-$I23)&gt;0)*($AA$6:$AA$65-$I23))))/SUMPRODUCT($B$6:$B$65*EXP(-L$15*((($AA$6:$AA$65-$I23)&gt;0)*($AA$6:$AA$65-$I23)))*EXP(-L$15*((($AA$6:$AA$65-$I23)&gt;0)*($AA$6:$AA$65-$I23))))))*EXP(-L$15*((($AA$6:$AA$65-$I23)&gt;0)*($AA$6:$AA$65-$I23)))-$AB$6:$AB$65)^2))</f>
        <v/>
      </c>
      <c r="M23" s="18">
        <f>IF(OR(COUNTIF($D$6:$D$65,"&lt;"&amp;$I23)&lt;$I$5,COUNTIF($D$6:$D$65,"&gt;="&amp;$I23)&lt;$I$6,(MAX($D$6:$D$65)-$I23)/(MAX($D$6:$D$65)-MIN($D$6:$D$65))&lt;$I$7),"",SUMPRODUCT($B$6:$B$65*(((SUMPRODUCT($B$6:$B$65*$AB$6:$AB$65*EXP(-M$15*((($AA$6:$AA$65-$I23)&gt;0)*($AA$6:$AA$65-$I23))))/SUMPRODUCT($B$6:$B$65*EXP(-M$15*((($AA$6:$AA$65-$I23)&gt;0)*($AA$6:$AA$65-$I23)))*EXP(-M$15*((($AA$6:$AA$65-$I23)&gt;0)*($AA$6:$AA$65-$I23))))))*EXP(-M$15*((($AA$6:$AA$65-$I23)&gt;0)*($AA$6:$AA$65-$I23)))-$AB$6:$AB$65)^2))</f>
        <v/>
      </c>
      <c r="N23" s="18">
        <f>IF(OR(COUNTIF($D$6:$D$65,"&lt;"&amp;$I23)&lt;$I$5,COUNTIF($D$6:$D$65,"&gt;="&amp;$I23)&lt;$I$6,(MAX($D$6:$D$65)-$I23)/(MAX($D$6:$D$65)-MIN($D$6:$D$65))&lt;$I$7),"",SUMPRODUCT($B$6:$B$65*(((SUMPRODUCT($B$6:$B$65*$AB$6:$AB$65*EXP(-N$15*((($AA$6:$AA$65-$I23)&gt;0)*($AA$6:$AA$65-$I23))))/SUMPRODUCT($B$6:$B$65*EXP(-N$15*((($AA$6:$AA$65-$I23)&gt;0)*($AA$6:$AA$65-$I23)))*EXP(-N$15*((($AA$6:$AA$65-$I23)&gt;0)*($AA$6:$AA$65-$I23))))))*EXP(-N$15*((($AA$6:$AA$65-$I23)&gt;0)*($AA$6:$AA$65-$I23)))-$AB$6:$AB$65)^2))</f>
        <v/>
      </c>
      <c r="O23" s="18">
        <f>IF(OR(COUNTIF($D$6:$D$65,"&lt;"&amp;$I23)&lt;$I$5,COUNTIF($D$6:$D$65,"&gt;="&amp;$I23)&lt;$I$6,(MAX($D$6:$D$65)-$I23)/(MAX($D$6:$D$65)-MIN($D$6:$D$65))&lt;$I$7),"",SUMPRODUCT($B$6:$B$65*(((SUMPRODUCT($B$6:$B$65*$AB$6:$AB$65*EXP(-O$15*((($AA$6:$AA$65-$I23)&gt;0)*($AA$6:$AA$65-$I23))))/SUMPRODUCT($B$6:$B$65*EXP(-O$15*((($AA$6:$AA$65-$I23)&gt;0)*($AA$6:$AA$65-$I23)))*EXP(-O$15*((($AA$6:$AA$65-$I23)&gt;0)*($AA$6:$AA$65-$I23))))))*EXP(-O$15*((($AA$6:$AA$65-$I23)&gt;0)*($AA$6:$AA$65-$I23)))-$AB$6:$AB$65)^2))</f>
        <v/>
      </c>
      <c r="P23" s="18">
        <f>IF(OR(COUNTIF($D$6:$D$65,"&lt;"&amp;$I23)&lt;$I$5,COUNTIF($D$6:$D$65,"&gt;="&amp;$I23)&lt;$I$6,(MAX($D$6:$D$65)-$I23)/(MAX($D$6:$D$65)-MIN($D$6:$D$65))&lt;$I$7),"",SUMPRODUCT($B$6:$B$65*(((SUMPRODUCT($B$6:$B$65*$AB$6:$AB$65*EXP(-P$15*((($AA$6:$AA$65-$I23)&gt;0)*($AA$6:$AA$65-$I23))))/SUMPRODUCT($B$6:$B$65*EXP(-P$15*((($AA$6:$AA$65-$I23)&gt;0)*($AA$6:$AA$65-$I23)))*EXP(-P$15*((($AA$6:$AA$65-$I23)&gt;0)*($AA$6:$AA$65-$I23))))))*EXP(-P$15*((($AA$6:$AA$65-$I23)&gt;0)*($AA$6:$AA$65-$I23)))-$AB$6:$AB$65)^2))</f>
        <v/>
      </c>
      <c r="Q23" s="18">
        <f>IF(OR(COUNTIF($D$6:$D$65,"&lt;"&amp;$I23)&lt;$I$5,COUNTIF($D$6:$D$65,"&gt;="&amp;$I23)&lt;$I$6,(MAX($D$6:$D$65)-$I23)/(MAX($D$6:$D$65)-MIN($D$6:$D$65))&lt;$I$7),"",SUMPRODUCT($B$6:$B$65*(((SUMPRODUCT($B$6:$B$65*$AB$6:$AB$65*EXP(-Q$15*((($AA$6:$AA$65-$I23)&gt;0)*($AA$6:$AA$65-$I23))))/SUMPRODUCT($B$6:$B$65*EXP(-Q$15*((($AA$6:$AA$65-$I23)&gt;0)*($AA$6:$AA$65-$I23)))*EXP(-Q$15*((($AA$6:$AA$65-$I23)&gt;0)*($AA$6:$AA$65-$I23))))))*EXP(-Q$15*((($AA$6:$AA$65-$I23)&gt;0)*($AA$6:$AA$65-$I23)))-$AB$6:$AB$65)^2))</f>
        <v/>
      </c>
      <c r="R23" s="18">
        <f>IF(OR(COUNTIF($D$6:$D$65,"&lt;"&amp;$I23)&lt;$I$5,COUNTIF($D$6:$D$65,"&gt;="&amp;$I23)&lt;$I$6,(MAX($D$6:$D$65)-$I23)/(MAX($D$6:$D$65)-MIN($D$6:$D$65))&lt;$I$7),"",SUMPRODUCT($B$6:$B$65*(((SUMPRODUCT($B$6:$B$65*$AB$6:$AB$65*EXP(-R$15*((($AA$6:$AA$65-$I23)&gt;0)*($AA$6:$AA$65-$I23))))/SUMPRODUCT($B$6:$B$65*EXP(-R$15*((($AA$6:$AA$65-$I23)&gt;0)*($AA$6:$AA$65-$I23)))*EXP(-R$15*((($AA$6:$AA$65-$I23)&gt;0)*($AA$6:$AA$65-$I23))))))*EXP(-R$15*((($AA$6:$AA$65-$I23)&gt;0)*($AA$6:$AA$65-$I23)))-$AB$6:$AB$65)^2))</f>
        <v/>
      </c>
      <c r="S23" s="18">
        <f>IF(OR(COUNTIF($D$6:$D$65,"&lt;"&amp;$I23)&lt;$I$5,COUNTIF($D$6:$D$65,"&gt;="&amp;$I23)&lt;$I$6,(MAX($D$6:$D$65)-$I23)/(MAX($D$6:$D$65)-MIN($D$6:$D$65))&lt;$I$7),"",SUMPRODUCT($B$6:$B$65*(((SUMPRODUCT($B$6:$B$65*$AB$6:$AB$65*EXP(-S$15*((($AA$6:$AA$65-$I23)&gt;0)*($AA$6:$AA$65-$I23))))/SUMPRODUCT($B$6:$B$65*EXP(-S$15*((($AA$6:$AA$65-$I23)&gt;0)*($AA$6:$AA$65-$I23)))*EXP(-S$15*((($AA$6:$AA$65-$I23)&gt;0)*($AA$6:$AA$65-$I23))))))*EXP(-S$15*((($AA$6:$AA$65-$I23)&gt;0)*($AA$6:$AA$65-$I23)))-$AB$6:$AB$65)^2))</f>
        <v/>
      </c>
      <c r="T23" s="18">
        <f>IF(OR(COUNTIF($D$6:$D$65,"&lt;"&amp;$I23)&lt;$I$5,COUNTIF($D$6:$D$65,"&gt;="&amp;$I23)&lt;$I$6,(MAX($D$6:$D$65)-$I23)/(MAX($D$6:$D$65)-MIN($D$6:$D$65))&lt;$I$7),"",SUMPRODUCT($B$6:$B$65*(((SUMPRODUCT($B$6:$B$65*$AB$6:$AB$65*EXP(-T$15*((($AA$6:$AA$65-$I23)&gt;0)*($AA$6:$AA$65-$I23))))/SUMPRODUCT($B$6:$B$65*EXP(-T$15*((($AA$6:$AA$65-$I23)&gt;0)*($AA$6:$AA$65-$I23)))*EXP(-T$15*((($AA$6:$AA$65-$I23)&gt;0)*($AA$6:$AA$65-$I23))))))*EXP(-T$15*((($AA$6:$AA$65-$I23)&gt;0)*($AA$6:$AA$65-$I23)))-$AB$6:$AB$65)^2))</f>
        <v/>
      </c>
      <c r="U23" s="18">
        <f>IF(OR(COUNTIF($D$6:$D$65,"&lt;"&amp;$I23)&lt;$I$5,COUNTIF($D$6:$D$65,"&gt;="&amp;$I23)&lt;$I$6,(MAX($D$6:$D$65)-$I23)/(MAX($D$6:$D$65)-MIN($D$6:$D$65))&lt;$I$7),"",SUMPRODUCT($B$6:$B$65*(((SUMPRODUCT($B$6:$B$65*$AB$6:$AB$65*EXP(-U$15*((($AA$6:$AA$65-$I23)&gt;0)*($AA$6:$AA$65-$I23))))/SUMPRODUCT($B$6:$B$65*EXP(-U$15*((($AA$6:$AA$65-$I23)&gt;0)*($AA$6:$AA$65-$I23)))*EXP(-U$15*((($AA$6:$AA$65-$I23)&gt;0)*($AA$6:$AA$65-$I23))))))*EXP(-U$15*((($AA$6:$AA$65-$I23)&gt;0)*($AA$6:$AA$65-$I23)))-$AB$6:$AB$65)^2))</f>
        <v/>
      </c>
      <c r="V23" s="18">
        <f>IF(COUNT(J23:U23)=0,"",MIN(J23:U23))</f>
        <v/>
      </c>
      <c r="W23" s="6">
        <f>IF(COUNT(J23:U23)=0,"",MATCH(V23,J23:U23,0))</f>
        <v/>
      </c>
      <c r="AA23" s="12">
        <f>IF(ISNUMBER(D23),D23,0)</f>
        <v/>
      </c>
      <c r="AB23" s="13">
        <f>IF(ISNUMBER(E23),E23,0)</f>
        <v/>
      </c>
    </row>
    <row r="24">
      <c r="A24" s="6" t="n">
        <v>19</v>
      </c>
      <c r="B24" s="8" t="n">
        <v>11927</v>
      </c>
      <c r="C24" s="9" t="n">
        <v>246</v>
      </c>
      <c r="D24" s="10" t="n">
        <v>2.385847</v>
      </c>
      <c r="E24" s="11">
        <f>IF(B24&gt;0,C24/B24,"")</f>
        <v/>
      </c>
      <c r="F24" s="8" t="n"/>
      <c r="I24" s="17">
        <f>MIN($D$6:$D$65)+(MAX($D$6:$D$65)-MIN($D$6:$D$65))*0.8111</f>
        <v/>
      </c>
      <c r="J24" s="18">
        <f>IF(OR(COUNTIF($D$6:$D$65,"&lt;"&amp;$I24)&lt;$I$5,COUNTIF($D$6:$D$65,"&gt;="&amp;$I24)&lt;$I$6,(MAX($D$6:$D$65)-$I24)/(MAX($D$6:$D$65)-MIN($D$6:$D$65))&lt;$I$7),"",SUMPRODUCT($B$6:$B$65*(((SUMPRODUCT($B$6:$B$65*$AB$6:$AB$65*EXP(-J$15*((($AA$6:$AA$65-$I24)&gt;0)*($AA$6:$AA$65-$I24))))/SUMPRODUCT($B$6:$B$65*EXP(-J$15*((($AA$6:$AA$65-$I24)&gt;0)*($AA$6:$AA$65-$I24)))*EXP(-J$15*((($AA$6:$AA$65-$I24)&gt;0)*($AA$6:$AA$65-$I24))))))*EXP(-J$15*((($AA$6:$AA$65-$I24)&gt;0)*($AA$6:$AA$65-$I24)))-$AB$6:$AB$65)^2))</f>
        <v/>
      </c>
      <c r="K24" s="18">
        <f>IF(OR(COUNTIF($D$6:$D$65,"&lt;"&amp;$I24)&lt;$I$5,COUNTIF($D$6:$D$65,"&gt;="&amp;$I24)&lt;$I$6,(MAX($D$6:$D$65)-$I24)/(MAX($D$6:$D$65)-MIN($D$6:$D$65))&lt;$I$7),"",SUMPRODUCT($B$6:$B$65*(((SUMPRODUCT($B$6:$B$65*$AB$6:$AB$65*EXP(-K$15*((($AA$6:$AA$65-$I24)&gt;0)*($AA$6:$AA$65-$I24))))/SUMPRODUCT($B$6:$B$65*EXP(-K$15*((($AA$6:$AA$65-$I24)&gt;0)*($AA$6:$AA$65-$I24)))*EXP(-K$15*((($AA$6:$AA$65-$I24)&gt;0)*($AA$6:$AA$65-$I24))))))*EXP(-K$15*((($AA$6:$AA$65-$I24)&gt;0)*($AA$6:$AA$65-$I24)))-$AB$6:$AB$65)^2))</f>
        <v/>
      </c>
      <c r="L24" s="18">
        <f>IF(OR(COUNTIF($D$6:$D$65,"&lt;"&amp;$I24)&lt;$I$5,COUNTIF($D$6:$D$65,"&gt;="&amp;$I24)&lt;$I$6,(MAX($D$6:$D$65)-$I24)/(MAX($D$6:$D$65)-MIN($D$6:$D$65))&lt;$I$7),"",SUMPRODUCT($B$6:$B$65*(((SUMPRODUCT($B$6:$B$65*$AB$6:$AB$65*EXP(-L$15*((($AA$6:$AA$65-$I24)&gt;0)*($AA$6:$AA$65-$I24))))/SUMPRODUCT($B$6:$B$65*EXP(-L$15*((($AA$6:$AA$65-$I24)&gt;0)*($AA$6:$AA$65-$I24)))*EXP(-L$15*((($AA$6:$AA$65-$I24)&gt;0)*($AA$6:$AA$65-$I24))))))*EXP(-L$15*((($AA$6:$AA$65-$I24)&gt;0)*($AA$6:$AA$65-$I24)))-$AB$6:$AB$65)^2))</f>
        <v/>
      </c>
      <c r="M24" s="18">
        <f>IF(OR(COUNTIF($D$6:$D$65,"&lt;"&amp;$I24)&lt;$I$5,COUNTIF($D$6:$D$65,"&gt;="&amp;$I24)&lt;$I$6,(MAX($D$6:$D$65)-$I24)/(MAX($D$6:$D$65)-MIN($D$6:$D$65))&lt;$I$7),"",SUMPRODUCT($B$6:$B$65*(((SUMPRODUCT($B$6:$B$65*$AB$6:$AB$65*EXP(-M$15*((($AA$6:$AA$65-$I24)&gt;0)*($AA$6:$AA$65-$I24))))/SUMPRODUCT($B$6:$B$65*EXP(-M$15*((($AA$6:$AA$65-$I24)&gt;0)*($AA$6:$AA$65-$I24)))*EXP(-M$15*((($AA$6:$AA$65-$I24)&gt;0)*($AA$6:$AA$65-$I24))))))*EXP(-M$15*((($AA$6:$AA$65-$I24)&gt;0)*($AA$6:$AA$65-$I24)))-$AB$6:$AB$65)^2))</f>
        <v/>
      </c>
      <c r="N24" s="18">
        <f>IF(OR(COUNTIF($D$6:$D$65,"&lt;"&amp;$I24)&lt;$I$5,COUNTIF($D$6:$D$65,"&gt;="&amp;$I24)&lt;$I$6,(MAX($D$6:$D$65)-$I24)/(MAX($D$6:$D$65)-MIN($D$6:$D$65))&lt;$I$7),"",SUMPRODUCT($B$6:$B$65*(((SUMPRODUCT($B$6:$B$65*$AB$6:$AB$65*EXP(-N$15*((($AA$6:$AA$65-$I24)&gt;0)*($AA$6:$AA$65-$I24))))/SUMPRODUCT($B$6:$B$65*EXP(-N$15*((($AA$6:$AA$65-$I24)&gt;0)*($AA$6:$AA$65-$I24)))*EXP(-N$15*((($AA$6:$AA$65-$I24)&gt;0)*($AA$6:$AA$65-$I24))))))*EXP(-N$15*((($AA$6:$AA$65-$I24)&gt;0)*($AA$6:$AA$65-$I24)))-$AB$6:$AB$65)^2))</f>
        <v/>
      </c>
      <c r="O24" s="18">
        <f>IF(OR(COUNTIF($D$6:$D$65,"&lt;"&amp;$I24)&lt;$I$5,COUNTIF($D$6:$D$65,"&gt;="&amp;$I24)&lt;$I$6,(MAX($D$6:$D$65)-$I24)/(MAX($D$6:$D$65)-MIN($D$6:$D$65))&lt;$I$7),"",SUMPRODUCT($B$6:$B$65*(((SUMPRODUCT($B$6:$B$65*$AB$6:$AB$65*EXP(-O$15*((($AA$6:$AA$65-$I24)&gt;0)*($AA$6:$AA$65-$I24))))/SUMPRODUCT($B$6:$B$65*EXP(-O$15*((($AA$6:$AA$65-$I24)&gt;0)*($AA$6:$AA$65-$I24)))*EXP(-O$15*((($AA$6:$AA$65-$I24)&gt;0)*($AA$6:$AA$65-$I24))))))*EXP(-O$15*((($AA$6:$AA$65-$I24)&gt;0)*($AA$6:$AA$65-$I24)))-$AB$6:$AB$65)^2))</f>
        <v/>
      </c>
      <c r="P24" s="18">
        <f>IF(OR(COUNTIF($D$6:$D$65,"&lt;"&amp;$I24)&lt;$I$5,COUNTIF($D$6:$D$65,"&gt;="&amp;$I24)&lt;$I$6,(MAX($D$6:$D$65)-$I24)/(MAX($D$6:$D$65)-MIN($D$6:$D$65))&lt;$I$7),"",SUMPRODUCT($B$6:$B$65*(((SUMPRODUCT($B$6:$B$65*$AB$6:$AB$65*EXP(-P$15*((($AA$6:$AA$65-$I24)&gt;0)*($AA$6:$AA$65-$I24))))/SUMPRODUCT($B$6:$B$65*EXP(-P$15*((($AA$6:$AA$65-$I24)&gt;0)*($AA$6:$AA$65-$I24)))*EXP(-P$15*((($AA$6:$AA$65-$I24)&gt;0)*($AA$6:$AA$65-$I24))))))*EXP(-P$15*((($AA$6:$AA$65-$I24)&gt;0)*($AA$6:$AA$65-$I24)))-$AB$6:$AB$65)^2))</f>
        <v/>
      </c>
      <c r="Q24" s="18">
        <f>IF(OR(COUNTIF($D$6:$D$65,"&lt;"&amp;$I24)&lt;$I$5,COUNTIF($D$6:$D$65,"&gt;="&amp;$I24)&lt;$I$6,(MAX($D$6:$D$65)-$I24)/(MAX($D$6:$D$65)-MIN($D$6:$D$65))&lt;$I$7),"",SUMPRODUCT($B$6:$B$65*(((SUMPRODUCT($B$6:$B$65*$AB$6:$AB$65*EXP(-Q$15*((($AA$6:$AA$65-$I24)&gt;0)*($AA$6:$AA$65-$I24))))/SUMPRODUCT($B$6:$B$65*EXP(-Q$15*((($AA$6:$AA$65-$I24)&gt;0)*($AA$6:$AA$65-$I24)))*EXP(-Q$15*((($AA$6:$AA$65-$I24)&gt;0)*($AA$6:$AA$65-$I24))))))*EXP(-Q$15*((($AA$6:$AA$65-$I24)&gt;0)*($AA$6:$AA$65-$I24)))-$AB$6:$AB$65)^2))</f>
        <v/>
      </c>
      <c r="R24" s="18">
        <f>IF(OR(COUNTIF($D$6:$D$65,"&lt;"&amp;$I24)&lt;$I$5,COUNTIF($D$6:$D$65,"&gt;="&amp;$I24)&lt;$I$6,(MAX($D$6:$D$65)-$I24)/(MAX($D$6:$D$65)-MIN($D$6:$D$65))&lt;$I$7),"",SUMPRODUCT($B$6:$B$65*(((SUMPRODUCT($B$6:$B$65*$AB$6:$AB$65*EXP(-R$15*((($AA$6:$AA$65-$I24)&gt;0)*($AA$6:$AA$65-$I24))))/SUMPRODUCT($B$6:$B$65*EXP(-R$15*((($AA$6:$AA$65-$I24)&gt;0)*($AA$6:$AA$65-$I24)))*EXP(-R$15*((($AA$6:$AA$65-$I24)&gt;0)*($AA$6:$AA$65-$I24))))))*EXP(-R$15*((($AA$6:$AA$65-$I24)&gt;0)*($AA$6:$AA$65-$I24)))-$AB$6:$AB$65)^2))</f>
        <v/>
      </c>
      <c r="S24" s="18">
        <f>IF(OR(COUNTIF($D$6:$D$65,"&lt;"&amp;$I24)&lt;$I$5,COUNTIF($D$6:$D$65,"&gt;="&amp;$I24)&lt;$I$6,(MAX($D$6:$D$65)-$I24)/(MAX($D$6:$D$65)-MIN($D$6:$D$65))&lt;$I$7),"",SUMPRODUCT($B$6:$B$65*(((SUMPRODUCT($B$6:$B$65*$AB$6:$AB$65*EXP(-S$15*((($AA$6:$AA$65-$I24)&gt;0)*($AA$6:$AA$65-$I24))))/SUMPRODUCT($B$6:$B$65*EXP(-S$15*((($AA$6:$AA$65-$I24)&gt;0)*($AA$6:$AA$65-$I24)))*EXP(-S$15*((($AA$6:$AA$65-$I24)&gt;0)*($AA$6:$AA$65-$I24))))))*EXP(-S$15*((($AA$6:$AA$65-$I24)&gt;0)*($AA$6:$AA$65-$I24)))-$AB$6:$AB$65)^2))</f>
        <v/>
      </c>
      <c r="T24" s="18">
        <f>IF(OR(COUNTIF($D$6:$D$65,"&lt;"&amp;$I24)&lt;$I$5,COUNTIF($D$6:$D$65,"&gt;="&amp;$I24)&lt;$I$6,(MAX($D$6:$D$65)-$I24)/(MAX($D$6:$D$65)-MIN($D$6:$D$65))&lt;$I$7),"",SUMPRODUCT($B$6:$B$65*(((SUMPRODUCT($B$6:$B$65*$AB$6:$AB$65*EXP(-T$15*((($AA$6:$AA$65-$I24)&gt;0)*($AA$6:$AA$65-$I24))))/SUMPRODUCT($B$6:$B$65*EXP(-T$15*((($AA$6:$AA$65-$I24)&gt;0)*($AA$6:$AA$65-$I24)))*EXP(-T$15*((($AA$6:$AA$65-$I24)&gt;0)*($AA$6:$AA$65-$I24))))))*EXP(-T$15*((($AA$6:$AA$65-$I24)&gt;0)*($AA$6:$AA$65-$I24)))-$AB$6:$AB$65)^2))</f>
        <v/>
      </c>
      <c r="U24" s="18">
        <f>IF(OR(COUNTIF($D$6:$D$65,"&lt;"&amp;$I24)&lt;$I$5,COUNTIF($D$6:$D$65,"&gt;="&amp;$I24)&lt;$I$6,(MAX($D$6:$D$65)-$I24)/(MAX($D$6:$D$65)-MIN($D$6:$D$65))&lt;$I$7),"",SUMPRODUCT($B$6:$B$65*(((SUMPRODUCT($B$6:$B$65*$AB$6:$AB$65*EXP(-U$15*((($AA$6:$AA$65-$I24)&gt;0)*($AA$6:$AA$65-$I24))))/SUMPRODUCT($B$6:$B$65*EXP(-U$15*((($AA$6:$AA$65-$I24)&gt;0)*($AA$6:$AA$65-$I24)))*EXP(-U$15*((($AA$6:$AA$65-$I24)&gt;0)*($AA$6:$AA$65-$I24))))))*EXP(-U$15*((($AA$6:$AA$65-$I24)&gt;0)*($AA$6:$AA$65-$I24)))-$AB$6:$AB$65)^2))</f>
        <v/>
      </c>
      <c r="V24" s="18">
        <f>IF(COUNT(J24:U24)=0,"",MIN(J24:U24))</f>
        <v/>
      </c>
      <c r="W24" s="6">
        <f>IF(COUNT(J24:U24)=0,"",MATCH(V24,J24:U24,0))</f>
        <v/>
      </c>
      <c r="AA24" s="12">
        <f>IF(ISNUMBER(D24),D24,0)</f>
        <v/>
      </c>
      <c r="AB24" s="13">
        <f>IF(ISNUMBER(E24),E24,0)</f>
        <v/>
      </c>
    </row>
    <row r="25">
      <c r="A25" s="6" t="n">
        <v>20</v>
      </c>
      <c r="B25" s="8" t="n">
        <v>12249</v>
      </c>
      <c r="C25" s="9" t="n">
        <v>219</v>
      </c>
      <c r="D25" s="10" t="n">
        <v>2.48414</v>
      </c>
      <c r="E25" s="11">
        <f>IF(B25&gt;0,C25/B25,"")</f>
        <v/>
      </c>
      <c r="F25" s="8" t="n"/>
      <c r="I25" s="17">
        <f>MIN($D$6:$D$65)+(MAX($D$6:$D$65)-MIN($D$6:$D$65))*0.9000</f>
        <v/>
      </c>
      <c r="J25" s="18">
        <f>IF(OR(COUNTIF($D$6:$D$65,"&lt;"&amp;$I25)&lt;$I$5,COUNTIF($D$6:$D$65,"&gt;="&amp;$I25)&lt;$I$6,(MAX($D$6:$D$65)-$I25)/(MAX($D$6:$D$65)-MIN($D$6:$D$65))&lt;$I$7),"",SUMPRODUCT($B$6:$B$65*(((SUMPRODUCT($B$6:$B$65*$AB$6:$AB$65*EXP(-J$15*((($AA$6:$AA$65-$I25)&gt;0)*($AA$6:$AA$65-$I25))))/SUMPRODUCT($B$6:$B$65*EXP(-J$15*((($AA$6:$AA$65-$I25)&gt;0)*($AA$6:$AA$65-$I25)))*EXP(-J$15*((($AA$6:$AA$65-$I25)&gt;0)*($AA$6:$AA$65-$I25))))))*EXP(-J$15*((($AA$6:$AA$65-$I25)&gt;0)*($AA$6:$AA$65-$I25)))-$AB$6:$AB$65)^2))</f>
        <v/>
      </c>
      <c r="K25" s="18">
        <f>IF(OR(COUNTIF($D$6:$D$65,"&lt;"&amp;$I25)&lt;$I$5,COUNTIF($D$6:$D$65,"&gt;="&amp;$I25)&lt;$I$6,(MAX($D$6:$D$65)-$I25)/(MAX($D$6:$D$65)-MIN($D$6:$D$65))&lt;$I$7),"",SUMPRODUCT($B$6:$B$65*(((SUMPRODUCT($B$6:$B$65*$AB$6:$AB$65*EXP(-K$15*((($AA$6:$AA$65-$I25)&gt;0)*($AA$6:$AA$65-$I25))))/SUMPRODUCT($B$6:$B$65*EXP(-K$15*((($AA$6:$AA$65-$I25)&gt;0)*($AA$6:$AA$65-$I25)))*EXP(-K$15*((($AA$6:$AA$65-$I25)&gt;0)*($AA$6:$AA$65-$I25))))))*EXP(-K$15*((($AA$6:$AA$65-$I25)&gt;0)*($AA$6:$AA$65-$I25)))-$AB$6:$AB$65)^2))</f>
        <v/>
      </c>
      <c r="L25" s="18">
        <f>IF(OR(COUNTIF($D$6:$D$65,"&lt;"&amp;$I25)&lt;$I$5,COUNTIF($D$6:$D$65,"&gt;="&amp;$I25)&lt;$I$6,(MAX($D$6:$D$65)-$I25)/(MAX($D$6:$D$65)-MIN($D$6:$D$65))&lt;$I$7),"",SUMPRODUCT($B$6:$B$65*(((SUMPRODUCT($B$6:$B$65*$AB$6:$AB$65*EXP(-L$15*((($AA$6:$AA$65-$I25)&gt;0)*($AA$6:$AA$65-$I25))))/SUMPRODUCT($B$6:$B$65*EXP(-L$15*((($AA$6:$AA$65-$I25)&gt;0)*($AA$6:$AA$65-$I25)))*EXP(-L$15*((($AA$6:$AA$65-$I25)&gt;0)*($AA$6:$AA$65-$I25))))))*EXP(-L$15*((($AA$6:$AA$65-$I25)&gt;0)*($AA$6:$AA$65-$I25)))-$AB$6:$AB$65)^2))</f>
        <v/>
      </c>
      <c r="M25" s="18">
        <f>IF(OR(COUNTIF($D$6:$D$65,"&lt;"&amp;$I25)&lt;$I$5,COUNTIF($D$6:$D$65,"&gt;="&amp;$I25)&lt;$I$6,(MAX($D$6:$D$65)-$I25)/(MAX($D$6:$D$65)-MIN($D$6:$D$65))&lt;$I$7),"",SUMPRODUCT($B$6:$B$65*(((SUMPRODUCT($B$6:$B$65*$AB$6:$AB$65*EXP(-M$15*((($AA$6:$AA$65-$I25)&gt;0)*($AA$6:$AA$65-$I25))))/SUMPRODUCT($B$6:$B$65*EXP(-M$15*((($AA$6:$AA$65-$I25)&gt;0)*($AA$6:$AA$65-$I25)))*EXP(-M$15*((($AA$6:$AA$65-$I25)&gt;0)*($AA$6:$AA$65-$I25))))))*EXP(-M$15*((($AA$6:$AA$65-$I25)&gt;0)*($AA$6:$AA$65-$I25)))-$AB$6:$AB$65)^2))</f>
        <v/>
      </c>
      <c r="N25" s="18">
        <f>IF(OR(COUNTIF($D$6:$D$65,"&lt;"&amp;$I25)&lt;$I$5,COUNTIF($D$6:$D$65,"&gt;="&amp;$I25)&lt;$I$6,(MAX($D$6:$D$65)-$I25)/(MAX($D$6:$D$65)-MIN($D$6:$D$65))&lt;$I$7),"",SUMPRODUCT($B$6:$B$65*(((SUMPRODUCT($B$6:$B$65*$AB$6:$AB$65*EXP(-N$15*((($AA$6:$AA$65-$I25)&gt;0)*($AA$6:$AA$65-$I25))))/SUMPRODUCT($B$6:$B$65*EXP(-N$15*((($AA$6:$AA$65-$I25)&gt;0)*($AA$6:$AA$65-$I25)))*EXP(-N$15*((($AA$6:$AA$65-$I25)&gt;0)*($AA$6:$AA$65-$I25))))))*EXP(-N$15*((($AA$6:$AA$65-$I25)&gt;0)*($AA$6:$AA$65-$I25)))-$AB$6:$AB$65)^2))</f>
        <v/>
      </c>
      <c r="O25" s="18">
        <f>IF(OR(COUNTIF($D$6:$D$65,"&lt;"&amp;$I25)&lt;$I$5,COUNTIF($D$6:$D$65,"&gt;="&amp;$I25)&lt;$I$6,(MAX($D$6:$D$65)-$I25)/(MAX($D$6:$D$65)-MIN($D$6:$D$65))&lt;$I$7),"",SUMPRODUCT($B$6:$B$65*(((SUMPRODUCT($B$6:$B$65*$AB$6:$AB$65*EXP(-O$15*((($AA$6:$AA$65-$I25)&gt;0)*($AA$6:$AA$65-$I25))))/SUMPRODUCT($B$6:$B$65*EXP(-O$15*((($AA$6:$AA$65-$I25)&gt;0)*($AA$6:$AA$65-$I25)))*EXP(-O$15*((($AA$6:$AA$65-$I25)&gt;0)*($AA$6:$AA$65-$I25))))))*EXP(-O$15*((($AA$6:$AA$65-$I25)&gt;0)*($AA$6:$AA$65-$I25)))-$AB$6:$AB$65)^2))</f>
        <v/>
      </c>
      <c r="P25" s="18">
        <f>IF(OR(COUNTIF($D$6:$D$65,"&lt;"&amp;$I25)&lt;$I$5,COUNTIF($D$6:$D$65,"&gt;="&amp;$I25)&lt;$I$6,(MAX($D$6:$D$65)-$I25)/(MAX($D$6:$D$65)-MIN($D$6:$D$65))&lt;$I$7),"",SUMPRODUCT($B$6:$B$65*(((SUMPRODUCT($B$6:$B$65*$AB$6:$AB$65*EXP(-P$15*((($AA$6:$AA$65-$I25)&gt;0)*($AA$6:$AA$65-$I25))))/SUMPRODUCT($B$6:$B$65*EXP(-P$15*((($AA$6:$AA$65-$I25)&gt;0)*($AA$6:$AA$65-$I25)))*EXP(-P$15*((($AA$6:$AA$65-$I25)&gt;0)*($AA$6:$AA$65-$I25))))))*EXP(-P$15*((($AA$6:$AA$65-$I25)&gt;0)*($AA$6:$AA$65-$I25)))-$AB$6:$AB$65)^2))</f>
        <v/>
      </c>
      <c r="Q25" s="18">
        <f>IF(OR(COUNTIF($D$6:$D$65,"&lt;"&amp;$I25)&lt;$I$5,COUNTIF($D$6:$D$65,"&gt;="&amp;$I25)&lt;$I$6,(MAX($D$6:$D$65)-$I25)/(MAX($D$6:$D$65)-MIN($D$6:$D$65))&lt;$I$7),"",SUMPRODUCT($B$6:$B$65*(((SUMPRODUCT($B$6:$B$65*$AB$6:$AB$65*EXP(-Q$15*((($AA$6:$AA$65-$I25)&gt;0)*($AA$6:$AA$65-$I25))))/SUMPRODUCT($B$6:$B$65*EXP(-Q$15*((($AA$6:$AA$65-$I25)&gt;0)*($AA$6:$AA$65-$I25)))*EXP(-Q$15*((($AA$6:$AA$65-$I25)&gt;0)*($AA$6:$AA$65-$I25))))))*EXP(-Q$15*((($AA$6:$AA$65-$I25)&gt;0)*($AA$6:$AA$65-$I25)))-$AB$6:$AB$65)^2))</f>
        <v/>
      </c>
      <c r="R25" s="18">
        <f>IF(OR(COUNTIF($D$6:$D$65,"&lt;"&amp;$I25)&lt;$I$5,COUNTIF($D$6:$D$65,"&gt;="&amp;$I25)&lt;$I$6,(MAX($D$6:$D$65)-$I25)/(MAX($D$6:$D$65)-MIN($D$6:$D$65))&lt;$I$7),"",SUMPRODUCT($B$6:$B$65*(((SUMPRODUCT($B$6:$B$65*$AB$6:$AB$65*EXP(-R$15*((($AA$6:$AA$65-$I25)&gt;0)*($AA$6:$AA$65-$I25))))/SUMPRODUCT($B$6:$B$65*EXP(-R$15*((($AA$6:$AA$65-$I25)&gt;0)*($AA$6:$AA$65-$I25)))*EXP(-R$15*((($AA$6:$AA$65-$I25)&gt;0)*($AA$6:$AA$65-$I25))))))*EXP(-R$15*((($AA$6:$AA$65-$I25)&gt;0)*($AA$6:$AA$65-$I25)))-$AB$6:$AB$65)^2))</f>
        <v/>
      </c>
      <c r="S25" s="18">
        <f>IF(OR(COUNTIF($D$6:$D$65,"&lt;"&amp;$I25)&lt;$I$5,COUNTIF($D$6:$D$65,"&gt;="&amp;$I25)&lt;$I$6,(MAX($D$6:$D$65)-$I25)/(MAX($D$6:$D$65)-MIN($D$6:$D$65))&lt;$I$7),"",SUMPRODUCT($B$6:$B$65*(((SUMPRODUCT($B$6:$B$65*$AB$6:$AB$65*EXP(-S$15*((($AA$6:$AA$65-$I25)&gt;0)*($AA$6:$AA$65-$I25))))/SUMPRODUCT($B$6:$B$65*EXP(-S$15*((($AA$6:$AA$65-$I25)&gt;0)*($AA$6:$AA$65-$I25)))*EXP(-S$15*((($AA$6:$AA$65-$I25)&gt;0)*($AA$6:$AA$65-$I25))))))*EXP(-S$15*((($AA$6:$AA$65-$I25)&gt;0)*($AA$6:$AA$65-$I25)))-$AB$6:$AB$65)^2))</f>
        <v/>
      </c>
      <c r="T25" s="18">
        <f>IF(OR(COUNTIF($D$6:$D$65,"&lt;"&amp;$I25)&lt;$I$5,COUNTIF($D$6:$D$65,"&gt;="&amp;$I25)&lt;$I$6,(MAX($D$6:$D$65)-$I25)/(MAX($D$6:$D$65)-MIN($D$6:$D$65))&lt;$I$7),"",SUMPRODUCT($B$6:$B$65*(((SUMPRODUCT($B$6:$B$65*$AB$6:$AB$65*EXP(-T$15*((($AA$6:$AA$65-$I25)&gt;0)*($AA$6:$AA$65-$I25))))/SUMPRODUCT($B$6:$B$65*EXP(-T$15*((($AA$6:$AA$65-$I25)&gt;0)*($AA$6:$AA$65-$I25)))*EXP(-T$15*((($AA$6:$AA$65-$I25)&gt;0)*($AA$6:$AA$65-$I25))))))*EXP(-T$15*((($AA$6:$AA$65-$I25)&gt;0)*($AA$6:$AA$65-$I25)))-$AB$6:$AB$65)^2))</f>
        <v/>
      </c>
      <c r="U25" s="18">
        <f>IF(OR(COUNTIF($D$6:$D$65,"&lt;"&amp;$I25)&lt;$I$5,COUNTIF($D$6:$D$65,"&gt;="&amp;$I25)&lt;$I$6,(MAX($D$6:$D$65)-$I25)/(MAX($D$6:$D$65)-MIN($D$6:$D$65))&lt;$I$7),"",SUMPRODUCT($B$6:$B$65*(((SUMPRODUCT($B$6:$B$65*$AB$6:$AB$65*EXP(-U$15*((($AA$6:$AA$65-$I25)&gt;0)*($AA$6:$AA$65-$I25))))/SUMPRODUCT($B$6:$B$65*EXP(-U$15*((($AA$6:$AA$65-$I25)&gt;0)*($AA$6:$AA$65-$I25)))*EXP(-U$15*((($AA$6:$AA$65-$I25)&gt;0)*($AA$6:$AA$65-$I25))))))*EXP(-U$15*((($AA$6:$AA$65-$I25)&gt;0)*($AA$6:$AA$65-$I25)))-$AB$6:$AB$65)^2))</f>
        <v/>
      </c>
      <c r="V25" s="18">
        <f>IF(COUNT(J25:U25)=0,"",MIN(J25:U25))</f>
        <v/>
      </c>
      <c r="W25" s="6">
        <f>IF(COUNT(J25:U25)=0,"",MATCH(V25,J25:U25,0))</f>
        <v/>
      </c>
      <c r="AA25" s="12">
        <f>IF(ISNUMBER(D25),D25,0)</f>
        <v/>
      </c>
      <c r="AB25" s="13">
        <f>IF(ISNUMBER(E25),E25,0)</f>
        <v/>
      </c>
    </row>
    <row r="26">
      <c r="A26" s="6" t="n">
        <v>21</v>
      </c>
      <c r="B26" s="8" t="n">
        <v>12015</v>
      </c>
      <c r="C26" s="9" t="n">
        <v>229</v>
      </c>
      <c r="D26" s="10" t="n">
        <v>2.604951</v>
      </c>
      <c r="E26" s="11">
        <f>IF(B26&gt;0,C26/B26,"")</f>
        <v/>
      </c>
      <c r="F26" s="8" t="n"/>
      <c r="AA26" s="12">
        <f>IF(ISNUMBER(D26),D26,0)</f>
        <v/>
      </c>
      <c r="AB26" s="13">
        <f>IF(ISNUMBER(E26),E26,0)</f>
        <v/>
      </c>
    </row>
    <row r="27">
      <c r="A27" s="6" t="n">
        <v>22</v>
      </c>
      <c r="B27" s="8" t="n">
        <v>12052</v>
      </c>
      <c r="C27" s="9" t="n">
        <v>205</v>
      </c>
      <c r="D27" s="10" t="n">
        <v>2.728767</v>
      </c>
      <c r="E27" s="11">
        <f>IF(B27&gt;0,C27/B27,"")</f>
        <v/>
      </c>
      <c r="F27" s="8" t="n"/>
      <c r="H27" s="4" t="inlineStr">
        <is>
          <t>What the grid says</t>
        </is>
      </c>
      <c r="AA27" s="12">
        <f>IF(ISNUMBER(D27),D27,0)</f>
        <v/>
      </c>
      <c r="AB27" s="13">
        <f>IF(ISNUMBER(E27),E27,0)</f>
        <v/>
      </c>
    </row>
    <row r="28">
      <c r="A28" s="6" t="n">
        <v>23</v>
      </c>
      <c r="B28" s="8" t="n">
        <v>12158</v>
      </c>
      <c r="C28" s="9" t="n">
        <v>194</v>
      </c>
      <c r="D28" s="10" t="n">
        <v>2.781416</v>
      </c>
      <c r="E28" s="11">
        <f>IF(B28&gt;0,C28/B28,"")</f>
        <v/>
      </c>
      <c r="F28" s="8" t="n"/>
      <c r="H28" s="6" t="inlineStr">
        <is>
          <t>Days with data</t>
        </is>
      </c>
      <c r="I28" s="19">
        <f>COUNTIF($B$6:$B$65,"&gt;0")</f>
        <v/>
      </c>
      <c r="AA28" s="12">
        <f>IF(ISNUMBER(D28),D28,0)</f>
        <v/>
      </c>
      <c r="AB28" s="13">
        <f>IF(ISNUMBER(E28),E28,0)</f>
        <v/>
      </c>
    </row>
    <row r="29">
      <c r="A29" s="6" t="n">
        <v>24</v>
      </c>
      <c r="B29" s="8" t="n">
        <v>12069</v>
      </c>
      <c r="C29" s="9" t="n">
        <v>220</v>
      </c>
      <c r="D29" s="10" t="n">
        <v>2.898768</v>
      </c>
      <c r="E29" s="11">
        <f>IF(B29&gt;0,C29/B29,"")</f>
        <v/>
      </c>
      <c r="F29" s="8" t="n"/>
      <c r="H29" s="6" t="inlineStr">
        <is>
          <t>Exposure moved by (impressions per person)</t>
        </is>
      </c>
      <c r="I29" s="20">
        <f>IF($I$28=0,"",MAX($D$6:$D$65)-MIN($D$6:$D$65))</f>
        <v/>
      </c>
      <c r="AA29" s="12">
        <f>IF(ISNUMBER(D29),D29,0)</f>
        <v/>
      </c>
      <c r="AB29" s="13">
        <f>IF(ISNUMBER(E29),E29,0)</f>
        <v/>
      </c>
    </row>
    <row r="30">
      <c r="A30" s="6" t="n">
        <v>25</v>
      </c>
      <c r="B30" s="8" t="n">
        <v>12001</v>
      </c>
      <c r="C30" s="9" t="n">
        <v>203</v>
      </c>
      <c r="D30" s="10" t="n">
        <v>2.973416</v>
      </c>
      <c r="E30" s="11">
        <f>IF(B30&gt;0,C30/B30,"")</f>
        <v/>
      </c>
      <c r="F30" s="8" t="n"/>
      <c r="H30" s="6" t="inlineStr">
        <is>
          <t>Best weighted residual sum of squares</t>
        </is>
      </c>
      <c r="I30" s="21">
        <f>IF(COUNT(V16:V25)=0,"",MIN(V16:V25))</f>
        <v/>
      </c>
      <c r="AA30" s="12">
        <f>IF(ISNUMBER(D30),D30,0)</f>
        <v/>
      </c>
      <c r="AB30" s="13">
        <f>IF(ISNUMBER(E30),E30,0)</f>
        <v/>
      </c>
    </row>
    <row r="31">
      <c r="A31" s="6" t="n">
        <v>26</v>
      </c>
      <c r="B31" s="8" t="n">
        <v>12165</v>
      </c>
      <c r="C31" s="9" t="n">
        <v>220</v>
      </c>
      <c r="D31" s="10" t="n">
        <v>3.023743</v>
      </c>
      <c r="E31" s="11">
        <f>IF(B31&gt;0,C31/B31,"")</f>
        <v/>
      </c>
      <c r="F31" s="8" t="n"/>
      <c r="H31" s="6" t="inlineStr">
        <is>
          <t>Onset (best row)</t>
        </is>
      </c>
      <c r="I31" s="20">
        <f>IF(COUNT(V16:V25)=0,"",INDEX($I$16:$I$25,MATCH($I$30,V16:V25,0)))</f>
        <v/>
      </c>
      <c r="AA31" s="12">
        <f>IF(ISNUMBER(D31),D31,0)</f>
        <v/>
      </c>
      <c r="AB31" s="13">
        <f>IF(ISNUMBER(E31),E31,0)</f>
        <v/>
      </c>
    </row>
    <row r="32">
      <c r="A32" s="6" t="n">
        <v>27</v>
      </c>
      <c r="B32" s="8" t="n">
        <v>11877</v>
      </c>
      <c r="C32" s="9" t="n">
        <v>188</v>
      </c>
      <c r="D32" s="10" t="n">
        <v>3.211013</v>
      </c>
      <c r="E32" s="11">
        <f>IF(B32&gt;0,C32/B32,"")</f>
        <v/>
      </c>
      <c r="F32" s="8" t="n"/>
      <c r="H32" s="6" t="inlineStr">
        <is>
          <t>Decay per impression per person (best column)</t>
        </is>
      </c>
      <c r="I32" s="20">
        <f>IF(COUNT(V16:V25)=0,"",INDEX(J$15:U$15,INDEX(W16:W25,MATCH($I$30,V16:V25,0))))</f>
        <v/>
      </c>
      <c r="AA32" s="12">
        <f>IF(ISNUMBER(D32),D32,0)</f>
        <v/>
      </c>
      <c r="AB32" s="13">
        <f>IF(ISNUMBER(E32),E32,0)</f>
        <v/>
      </c>
    </row>
    <row r="33">
      <c r="A33" s="6" t="n">
        <v>28</v>
      </c>
      <c r="B33" s="8" t="n">
        <v>12003</v>
      </c>
      <c r="C33" s="9" t="n">
        <v>179</v>
      </c>
      <c r="D33" s="10" t="n">
        <v>3.147837</v>
      </c>
      <c r="E33" s="11">
        <f>IF(B33&gt;0,C33/B33,"")</f>
        <v/>
      </c>
      <c r="F33" s="8" t="n"/>
      <c r="H33" s="6" t="inlineStr">
        <is>
          <t>Level at that onset and decay</t>
        </is>
      </c>
      <c r="I33" s="22">
        <f>IF($I$31="","",SUMPRODUCT($B$6:$B$65*$AB$6:$AB$65*EXP(-$I$32*((($AA$6:$AA$65-$I$31)&gt;0)*($AA$6:$AA$65-$I$31))))/SUMPRODUCT($B$6:$B$65*EXP(-$I$32*((($AA$6:$AA$65-$I$31)&gt;0)*($AA$6:$AA$65-$I$31)))*EXP(-$I$32*((($AA$6:$AA$65-$I$31)&gt;0)*($AA$6:$AA$65-$I$31)))))</f>
        <v/>
      </c>
      <c r="AA33" s="12">
        <f>IF(ISNUMBER(D33),D33,0)</f>
        <v/>
      </c>
      <c r="AB33" s="13">
        <f>IF(ISNUMBER(E33),E33,0)</f>
        <v/>
      </c>
    </row>
    <row r="34">
      <c r="A34" s="6" t="n">
        <v>29</v>
      </c>
      <c r="B34" s="8" t="n">
        <v>11856</v>
      </c>
      <c r="C34" s="9" t="n">
        <v>210</v>
      </c>
      <c r="D34" s="10" t="n">
        <v>3.255109</v>
      </c>
      <c r="E34" s="11">
        <f>IF(B34&gt;0,C34/B34,"")</f>
        <v/>
      </c>
      <c r="F34" s="8" t="n"/>
      <c r="H34" s="6" t="inlineStr">
        <is>
          <t>Flat line: the impression-weighted average rate</t>
        </is>
      </c>
      <c r="I34" s="22">
        <f>IF(SUM($B$6:$B$65)&gt;0,SUMPRODUCT($B$6:$B$65*$AB$6:$AB$65)/SUM($B$6:$B$65),"")</f>
        <v/>
      </c>
      <c r="AA34" s="12">
        <f>IF(ISNUMBER(D34),D34,0)</f>
        <v/>
      </c>
      <c r="AB34" s="13">
        <f>IF(ISNUMBER(E34),E34,0)</f>
        <v/>
      </c>
    </row>
    <row r="35">
      <c r="A35" s="6" t="n">
        <v>30</v>
      </c>
      <c r="B35" s="8" t="n">
        <v>12034</v>
      </c>
      <c r="C35" s="9" t="n">
        <v>217</v>
      </c>
      <c r="D35" s="10" t="n">
        <v>3.516819</v>
      </c>
      <c r="E35" s="11">
        <f>IF(B35&gt;0,C35/B35,"")</f>
        <v/>
      </c>
      <c r="F35" s="8" t="n"/>
      <c r="H35" s="6" t="inlineStr">
        <is>
          <t>Flat line: its weighted residual sum of squares</t>
        </is>
      </c>
      <c r="I35" s="21">
        <f>IF(SUM($B$6:$B$65)&gt;0,SUMPRODUCT($B$6:$B$65*($AB$6:$AB$65-$I$34)^2),"")</f>
        <v/>
      </c>
      <c r="AA35" s="12">
        <f>IF(ISNUMBER(D35),D35,0)</f>
        <v/>
      </c>
      <c r="AB35" s="13">
        <f>IF(ISNUMBER(E35),E35,0)</f>
        <v/>
      </c>
    </row>
    <row r="36">
      <c r="A36" s="6" t="n">
        <v>31</v>
      </c>
      <c r="B36" s="8" t="n">
        <v>12006</v>
      </c>
      <c r="C36" s="9" t="n">
        <v>222</v>
      </c>
      <c r="D36" s="10" t="n">
        <v>3.518289</v>
      </c>
      <c r="E36" s="11">
        <f>IF(B36&gt;0,C36/B36,"")</f>
        <v/>
      </c>
      <c r="F36" s="8" t="n"/>
      <c r="H36" s="6" t="inlineStr">
        <is>
          <t>Information criterion, the bend</t>
        </is>
      </c>
      <c r="I36" s="23">
        <f>IF($I$30="","",$I$28*LN($I$30/$I$28)+3*LN($I$28))</f>
        <v/>
      </c>
      <c r="AA36" s="12">
        <f>IF(ISNUMBER(D36),D36,0)</f>
        <v/>
      </c>
      <c r="AB36" s="13">
        <f>IF(ISNUMBER(E36),E36,0)</f>
        <v/>
      </c>
    </row>
    <row r="37">
      <c r="A37" s="6" t="n">
        <v>32</v>
      </c>
      <c r="B37" s="8" t="n">
        <v>12059</v>
      </c>
      <c r="C37" s="9" t="n">
        <v>213</v>
      </c>
      <c r="D37" s="10" t="n">
        <v>3.711025</v>
      </c>
      <c r="E37" s="11">
        <f>IF(B37&gt;0,C37/B37,"")</f>
        <v/>
      </c>
      <c r="F37" s="8" t="n"/>
      <c r="H37" s="6" t="inlineStr">
        <is>
          <t>Information criterion, the flat line</t>
        </is>
      </c>
      <c r="I37" s="23">
        <f>$I$28*LN($I$35/$I$28)+1*LN($I$28)</f>
        <v/>
      </c>
      <c r="AA37" s="12">
        <f>IF(ISNUMBER(D37),D37,0)</f>
        <v/>
      </c>
      <c r="AB37" s="13">
        <f>IF(ISNUMBER(E37),E37,0)</f>
        <v/>
      </c>
    </row>
    <row r="38">
      <c r="A38" s="6" t="n">
        <v>33</v>
      </c>
      <c r="B38" s="8" t="n">
        <v>12038</v>
      </c>
      <c r="C38" s="9" t="n">
        <v>186</v>
      </c>
      <c r="D38" s="10" t="n">
        <v>3.813019</v>
      </c>
      <c r="E38" s="11">
        <f>IF(B38&gt;0,C38/B38,"")</f>
        <v/>
      </c>
      <c r="F38" s="8" t="n"/>
      <c r="H38" s="6" t="inlineStr">
        <is>
          <t>Bend identified?</t>
        </is>
      </c>
      <c r="I38" s="24">
        <f>IF(OR($I$30="",$I$29&lt;$I$8),FALSE,$I$36+$I$9&lt;$I$37)</f>
        <v/>
      </c>
      <c r="AA38" s="12">
        <f>IF(ISNUMBER(D38),D38,0)</f>
        <v/>
      </c>
      <c r="AB38" s="13">
        <f>IF(ISNUMBER(E38),E38,0)</f>
        <v/>
      </c>
    </row>
    <row r="39">
      <c r="A39" s="6" t="n">
        <v>34</v>
      </c>
      <c r="B39" s="8" t="n">
        <v>11860</v>
      </c>
      <c r="C39" s="9" t="n">
        <v>187</v>
      </c>
      <c r="D39" s="10" t="n">
        <v>3.853317</v>
      </c>
      <c r="E39" s="11">
        <f>IF(B39&gt;0,C39/B39,"")</f>
        <v/>
      </c>
      <c r="F39" s="8" t="n"/>
      <c r="H39" s="6" t="inlineStr">
        <is>
          <t>Lost so far, at the last day's exposure</t>
        </is>
      </c>
      <c r="I39" s="25">
        <f>IF($I$38,1-EXP(-$I$32*MAX(INDEX($D$6:$D$65,$I$28)-$I$31,0)),"")</f>
        <v/>
      </c>
      <c r="AA39" s="12">
        <f>IF(ISNUMBER(D39),D39,0)</f>
        <v/>
      </c>
      <c r="AB39" s="13">
        <f>IF(ISNUMBER(E39),E39,0)</f>
        <v/>
      </c>
    </row>
    <row r="40">
      <c r="A40" s="6" t="n">
        <v>35</v>
      </c>
      <c r="B40" s="8" t="n">
        <v>11934</v>
      </c>
      <c r="C40" s="9" t="n">
        <v>193</v>
      </c>
      <c r="D40" s="10" t="n">
        <v>3.942674</v>
      </c>
      <c r="E40" s="11">
        <f>IF(B40&gt;0,C40/B40,"")</f>
        <v/>
      </c>
      <c r="F40" s="8" t="n"/>
      <c r="AA40" s="12">
        <f>IF(ISNUMBER(D40),D40,0)</f>
        <v/>
      </c>
      <c r="AB40" s="13">
        <f>IF(ISNUMBER(E40),E40,0)</f>
        <v/>
      </c>
    </row>
    <row r="41">
      <c r="A41" s="6" t="n">
        <v>36</v>
      </c>
      <c r="B41" s="8" t="n">
        <v>11982</v>
      </c>
      <c r="C41" s="9" t="n">
        <v>188</v>
      </c>
      <c r="D41" s="10" t="n">
        <v>4.079827</v>
      </c>
      <c r="E41" s="11">
        <f>IF(B41&gt;0,C41/B41,"")</f>
        <v/>
      </c>
      <c r="F41" s="8" t="n"/>
      <c r="AA41" s="12">
        <f>IF(ISNUMBER(D41),D41,0)</f>
        <v/>
      </c>
      <c r="AB41" s="13">
        <f>IF(ISNUMBER(E41),E41,0)</f>
        <v/>
      </c>
    </row>
    <row r="42">
      <c r="A42" s="6" t="n">
        <v>37</v>
      </c>
      <c r="B42" s="8" t="n">
        <v>11812</v>
      </c>
      <c r="C42" s="9" t="n">
        <v>174</v>
      </c>
      <c r="D42" s="10" t="n">
        <v>4.172654</v>
      </c>
      <c r="E42" s="11">
        <f>IF(B42&gt;0,C42/B42,"")</f>
        <v/>
      </c>
      <c r="F42" s="8" t="n"/>
      <c r="H42" s="4" t="inlineStr">
        <is>
          <t>The fallback rung: two calendar windows, the no-change range</t>
        </is>
      </c>
      <c r="AA42" s="12">
        <f>IF(ISNUMBER(D42),D42,0)</f>
        <v/>
      </c>
      <c r="AB42" s="13">
        <f>IF(ISNUMBER(E42),E42,0)</f>
        <v/>
      </c>
    </row>
    <row r="43">
      <c r="A43" s="6" t="n">
        <v>38</v>
      </c>
      <c r="B43" s="8" t="n">
        <v>12130</v>
      </c>
      <c r="C43" s="9" t="n">
        <v>184</v>
      </c>
      <c r="D43" s="10" t="n">
        <v>4.188684</v>
      </c>
      <c r="E43" s="11">
        <f>IF(B43&gt;0,C43/B43,"")</f>
        <v/>
      </c>
      <c r="F43" s="8" t="n"/>
      <c r="H43" s="6" t="inlineStr">
        <is>
          <t>Baseline impressions (days 8 to 21)</t>
        </is>
      </c>
      <c r="I43" s="26">
        <f>SUM(B13:B26)</f>
        <v/>
      </c>
      <c r="AA43" s="12">
        <f>IF(ISNUMBER(D43),D43,0)</f>
        <v/>
      </c>
      <c r="AB43" s="13">
        <f>IF(ISNUMBER(E43),E43,0)</f>
        <v/>
      </c>
    </row>
    <row r="44">
      <c r="A44" s="6" t="n">
        <v>39</v>
      </c>
      <c r="B44" s="8" t="n">
        <v>12019</v>
      </c>
      <c r="C44" s="9" t="n">
        <v>168</v>
      </c>
      <c r="D44" s="10" t="n">
        <v>4.47762</v>
      </c>
      <c r="E44" s="11">
        <f>IF(B44&gt;0,C44/B44,"")</f>
        <v/>
      </c>
      <c r="F44" s="8" t="n"/>
      <c r="H44" s="6" t="inlineStr">
        <is>
          <t>Baseline clicks</t>
        </is>
      </c>
      <c r="I44" s="26">
        <f>SUM(C13:C26)</f>
        <v/>
      </c>
      <c r="AA44" s="12">
        <f>IF(ISNUMBER(D44),D44,0)</f>
        <v/>
      </c>
      <c r="AB44" s="13">
        <f>IF(ISNUMBER(E44),E44,0)</f>
        <v/>
      </c>
    </row>
    <row r="45">
      <c r="A45" s="6" t="n">
        <v>40</v>
      </c>
      <c r="B45" s="8" t="n">
        <v>12119</v>
      </c>
      <c r="C45" s="9" t="n">
        <v>165</v>
      </c>
      <c r="D45" s="10" t="n">
        <v>4.489133</v>
      </c>
      <c r="E45" s="11">
        <f>IF(B45&gt;0,C45/B45,"")</f>
        <v/>
      </c>
      <c r="F45" s="8" t="n"/>
      <c r="H45" s="6" t="inlineStr">
        <is>
          <t>Impressions, last 7 days pasted</t>
        </is>
      </c>
      <c r="I45" s="26">
        <f>SUMPRODUCT(($A$6:$A$65&gt;$I$28-7)*($A$6:$A$65&lt;=$I$28)*$B$6:$B$65)</f>
        <v/>
      </c>
      <c r="AA45" s="12">
        <f>IF(ISNUMBER(D45),D45,0)</f>
        <v/>
      </c>
      <c r="AB45" s="13">
        <f>IF(ISNUMBER(E45),E45,0)</f>
        <v/>
      </c>
    </row>
    <row r="46">
      <c r="A46" s="6" t="n">
        <v>41</v>
      </c>
      <c r="B46" s="8" t="n">
        <v>11966</v>
      </c>
      <c r="C46" s="9" t="n">
        <v>193</v>
      </c>
      <c r="D46" s="10" t="n">
        <v>4.603893</v>
      </c>
      <c r="E46" s="11">
        <f>IF(B46&gt;0,C46/B46,"")</f>
        <v/>
      </c>
      <c r="F46" s="8" t="n"/>
      <c r="H46" s="6" t="inlineStr">
        <is>
          <t>Clicks, last week</t>
        </is>
      </c>
      <c r="I46" s="26">
        <f>SUMPRODUCT(($A$6:$A$65&gt;$I$28-7)*($A$6:$A$65&lt;=$I$28)*$C$6:$C$65)</f>
        <v/>
      </c>
      <c r="AA46" s="12">
        <f>IF(ISNUMBER(D46),D46,0)</f>
        <v/>
      </c>
      <c r="AB46" s="13">
        <f>IF(ISNUMBER(E46),E46,0)</f>
        <v/>
      </c>
    </row>
    <row r="47">
      <c r="A47" s="6" t="n">
        <v>42</v>
      </c>
      <c r="B47" s="8" t="n">
        <v>12113</v>
      </c>
      <c r="C47" s="9" t="n">
        <v>180</v>
      </c>
      <c r="D47" s="10" t="n">
        <v>4.743867</v>
      </c>
      <c r="E47" s="11">
        <f>IF(B47&gt;0,C47/B47,"")</f>
        <v/>
      </c>
      <c r="F47" s="8" t="n"/>
      <c r="H47" s="6" t="inlineStr">
        <is>
          <t>Baseline click-through rate</t>
        </is>
      </c>
      <c r="I47" s="22">
        <f>IF($I$43&gt;0,$I$44/$I$43,"")</f>
        <v/>
      </c>
      <c r="AA47" s="12">
        <f>IF(ISNUMBER(D47),D47,0)</f>
        <v/>
      </c>
      <c r="AB47" s="13">
        <f>IF(ISNUMBER(E47),E47,0)</f>
        <v/>
      </c>
    </row>
    <row r="48">
      <c r="A48" s="6" t="n">
        <v>43</v>
      </c>
      <c r="B48" s="8" t="n">
        <v>12068</v>
      </c>
      <c r="C48" s="9" t="n">
        <v>183</v>
      </c>
      <c r="D48" s="10" t="n">
        <v>4.824804</v>
      </c>
      <c r="E48" s="11">
        <f>IF(B48&gt;0,C48/B48,"")</f>
        <v/>
      </c>
      <c r="F48" s="8" t="n"/>
      <c r="H48" s="6" t="inlineStr">
        <is>
          <t>Click-through rate, last week</t>
        </is>
      </c>
      <c r="I48" s="22">
        <f>IF($I$45&gt;0,$I$46/$I$45,"")</f>
        <v/>
      </c>
      <c r="AA48" s="12">
        <f>IF(ISNUMBER(D48),D48,0)</f>
        <v/>
      </c>
      <c r="AB48" s="13">
        <f>IF(ISNUMBER(E48),E48,0)</f>
        <v/>
      </c>
    </row>
    <row r="49">
      <c r="A49" s="6" t="n">
        <v>44</v>
      </c>
      <c r="B49" s="8" t="n">
        <v>12136</v>
      </c>
      <c r="C49" s="9" t="n">
        <v>168</v>
      </c>
      <c r="D49" s="10" t="n">
        <v>5.058482</v>
      </c>
      <c r="E49" s="11">
        <f>IF(B49&gt;0,C49/B49,"")</f>
        <v/>
      </c>
      <c r="F49" s="8" t="n"/>
      <c r="H49" s="6" t="inlineStr">
        <is>
          <t>Drop, in percent of the baseline</t>
        </is>
      </c>
      <c r="I49" s="25">
        <f>IF($I$47&gt;0,($I$47-$I$48)/$I$47,"")</f>
        <v/>
      </c>
      <c r="AA49" s="12">
        <f>IF(ISNUMBER(D49),D49,0)</f>
        <v/>
      </c>
      <c r="AB49" s="13">
        <f>IF(ISNUMBER(E49),E49,0)</f>
        <v/>
      </c>
    </row>
    <row r="50">
      <c r="A50" s="6" t="n">
        <v>45</v>
      </c>
      <c r="B50" s="8" t="n">
        <v>12026</v>
      </c>
      <c r="C50" s="9" t="n">
        <v>165</v>
      </c>
      <c r="D50" s="10" t="n">
        <v>5.012085</v>
      </c>
      <c r="E50" s="11">
        <f>IF(B50&gt;0,C50/B50,"")</f>
        <v/>
      </c>
      <c r="F50" s="8" t="n"/>
      <c r="H50" s="6" t="inlineStr">
        <is>
          <t>Standard error of the difference</t>
        </is>
      </c>
      <c r="I50" s="27">
        <f>IF(AND($I$43&gt;0,$I$45&gt;0),SQRT($I$47*(1-$I$47)/$I$43+$I$48*(1-$I$48)/$I$45),"")</f>
        <v/>
      </c>
      <c r="AA50" s="12">
        <f>IF(ISNUMBER(D50),D50,0)</f>
        <v/>
      </c>
      <c r="AB50" s="13">
        <f>IF(ISNUMBER(E50),E50,0)</f>
        <v/>
      </c>
    </row>
    <row r="51">
      <c r="A51" s="6" t="n">
        <v>46</v>
      </c>
      <c r="B51" s="8" t="n">
        <v>11917</v>
      </c>
      <c r="C51" s="9" t="n">
        <v>194</v>
      </c>
      <c r="D51" s="10" t="n">
        <v>5.101905</v>
      </c>
      <c r="E51" s="11">
        <f>IF(B51&gt;0,C51/B51,"")</f>
        <v/>
      </c>
      <c r="F51" s="8" t="n"/>
      <c r="H51" s="6" t="inlineStr">
        <is>
          <t>Drop, in standard errors (the z)</t>
        </is>
      </c>
      <c r="I51" s="23">
        <f>IF($I$50&gt;0,($I$47-$I$48)/$I$50,"")</f>
        <v/>
      </c>
      <c r="AA51" s="12">
        <f>IF(ISNUMBER(D51),D51,0)</f>
        <v/>
      </c>
      <c r="AB51" s="13">
        <f>IF(ISNUMBER(E51),E51,0)</f>
        <v/>
      </c>
    </row>
    <row r="52">
      <c r="A52" s="6" t="n">
        <v>47</v>
      </c>
      <c r="B52" s="8" t="n">
        <v>12004</v>
      </c>
      <c r="C52" s="9" t="n">
        <v>157</v>
      </c>
      <c r="D52" s="10" t="n">
        <v>5.198196</v>
      </c>
      <c r="E52" s="11">
        <f>IF(B52&gt;0,C52/B52,"")</f>
        <v/>
      </c>
      <c r="F52" s="8" t="n"/>
      <c r="AA52" s="12">
        <f>IF(ISNUMBER(D52),D52,0)</f>
        <v/>
      </c>
      <c r="AB52" s="13">
        <f>IF(ISNUMBER(E52),E52,0)</f>
        <v/>
      </c>
    </row>
    <row r="53">
      <c r="A53" s="6" t="n">
        <v>48</v>
      </c>
      <c r="B53" s="8" t="n">
        <v>11680</v>
      </c>
      <c r="C53" s="9" t="n">
        <v>166</v>
      </c>
      <c r="D53" s="10" t="n">
        <v>5.415092</v>
      </c>
      <c r="E53" s="11">
        <f>IF(B53&gt;0,C53/B53,"")</f>
        <v/>
      </c>
      <c r="F53" s="8" t="n"/>
      <c r="H53" s="4" t="inlineStr">
        <is>
          <t>Exposure rise across the last week</t>
        </is>
      </c>
      <c r="J53" s="3" t="inlineStr">
        <is>
          <t>Every pairwise slope of the last week's exposure (blank where not forward in time)</t>
        </is>
      </c>
      <c r="AA53" s="12">
        <f>IF(ISNUMBER(D53),D53,0)</f>
        <v/>
      </c>
      <c r="AB53" s="13">
        <f>IF(ISNUMBER(E53),E53,0)</f>
        <v/>
      </c>
    </row>
    <row r="54">
      <c r="A54" s="6" t="n">
        <v>49</v>
      </c>
      <c r="B54" s="8" t="n">
        <v>12031</v>
      </c>
      <c r="C54" s="9" t="n">
        <v>177</v>
      </c>
      <c r="D54" s="10" t="n">
        <v>5.327892</v>
      </c>
      <c r="E54" s="11">
        <f>IF(B54&gt;0,C54/B54,"")</f>
        <v/>
      </c>
      <c r="F54" s="8" t="n"/>
      <c r="H54" s="6" t="inlineStr">
        <is>
          <t>Trend, median of every pairwise slope</t>
        </is>
      </c>
      <c r="I54" s="28">
        <f>IF(COUNT(J54:P60)=0,"",MEDIAN(J54:P60))</f>
        <v/>
      </c>
      <c r="J54" s="29">
        <f>""</f>
        <v/>
      </c>
      <c r="K54" s="29">
        <f>IF($I$28&lt;7,"",IFERROR((INDEX($D$6:$D$65,$I$28-5)-INDEX($D$6:$D$65,$I$28-6))/1,""))</f>
        <v/>
      </c>
      <c r="L54" s="29">
        <f>IF($I$28&lt;7,"",IFERROR((INDEX($D$6:$D$65,$I$28-4)-INDEX($D$6:$D$65,$I$28-6))/2,""))</f>
        <v/>
      </c>
      <c r="M54" s="29">
        <f>IF($I$28&lt;7,"",IFERROR((INDEX($D$6:$D$65,$I$28-3)-INDEX($D$6:$D$65,$I$28-6))/3,""))</f>
        <v/>
      </c>
      <c r="N54" s="29">
        <f>IF($I$28&lt;7,"",IFERROR((INDEX($D$6:$D$65,$I$28-2)-INDEX($D$6:$D$65,$I$28-6))/4,""))</f>
        <v/>
      </c>
      <c r="O54" s="29">
        <f>IF($I$28&lt;7,"",IFERROR((INDEX($D$6:$D$65,$I$28-1)-INDEX($D$6:$D$65,$I$28-6))/5,""))</f>
        <v/>
      </c>
      <c r="P54" s="29">
        <f>IF($I$28&lt;7,"",IFERROR((INDEX($D$6:$D$65,$I$28-0)-INDEX($D$6:$D$65,$I$28-6))/6,""))</f>
        <v/>
      </c>
      <c r="AA54" s="12">
        <f>IF(ISNUMBER(D54),D54,0)</f>
        <v/>
      </c>
      <c r="AB54" s="13">
        <f>IF(ISNUMBER(E54),E54,0)</f>
        <v/>
      </c>
    </row>
    <row r="55">
      <c r="A55" s="6" t="n">
        <v>50</v>
      </c>
      <c r="B55" s="8" t="n">
        <v>12032</v>
      </c>
      <c r="C55" s="9" t="n">
        <v>183</v>
      </c>
      <c r="D55" s="10" t="n">
        <v>5.651856</v>
      </c>
      <c r="E55" s="11">
        <f>IF(B55&gt;0,C55/B55,"")</f>
        <v/>
      </c>
      <c r="F55" s="8" t="n"/>
      <c r="H55" s="6" t="inlineStr">
        <is>
          <t>Average exposure across the week</t>
        </is>
      </c>
      <c r="I55" s="20">
        <f>IF(COUNT(J54:P60)=0,"",SUMPRODUCT(($A$6:$A$65&gt;$I$28-7)*($A$6:$A$65&lt;=$I$28)*$AA$6:$AA$65)/7)</f>
        <v/>
      </c>
      <c r="J55" s="29">
        <f>""</f>
        <v/>
      </c>
      <c r="K55" s="29">
        <f>""</f>
        <v/>
      </c>
      <c r="L55" s="29">
        <f>IF($I$28&lt;7,"",IFERROR((INDEX($D$6:$D$65,$I$28-4)-INDEX($D$6:$D$65,$I$28-5))/1,""))</f>
        <v/>
      </c>
      <c r="M55" s="29">
        <f>IF($I$28&lt;7,"",IFERROR((INDEX($D$6:$D$65,$I$28-3)-INDEX($D$6:$D$65,$I$28-5))/2,""))</f>
        <v/>
      </c>
      <c r="N55" s="29">
        <f>IF($I$28&lt;7,"",IFERROR((INDEX($D$6:$D$65,$I$28-2)-INDEX($D$6:$D$65,$I$28-5))/3,""))</f>
        <v/>
      </c>
      <c r="O55" s="29">
        <f>IF($I$28&lt;7,"",IFERROR((INDEX($D$6:$D$65,$I$28-1)-INDEX($D$6:$D$65,$I$28-5))/4,""))</f>
        <v/>
      </c>
      <c r="P55" s="29">
        <f>IF($I$28&lt;7,"",IFERROR((INDEX($D$6:$D$65,$I$28-0)-INDEX($D$6:$D$65,$I$28-5))/5,""))</f>
        <v/>
      </c>
      <c r="AA55" s="12">
        <f>IF(ISNUMBER(D55),D55,0)</f>
        <v/>
      </c>
      <c r="AB55" s="13">
        <f>IF(ISNUMBER(E55),E55,0)</f>
        <v/>
      </c>
    </row>
    <row r="56">
      <c r="A56" s="6" t="n">
        <v>51</v>
      </c>
      <c r="B56" s="8" t="n">
        <v>12015</v>
      </c>
      <c r="C56" s="9" t="n">
        <v>176</v>
      </c>
      <c r="D56" s="10" t="n">
        <v>5.78421</v>
      </c>
      <c r="E56" s="11">
        <f>IF(B56&gt;0,C56/B56,"")</f>
        <v/>
      </c>
      <c r="F56" s="8" t="n"/>
      <c r="H56" s="6" t="inlineStr">
        <is>
          <t>Rise across the week, as a share of that average</t>
        </is>
      </c>
      <c r="I56" s="25">
        <f>IF(N($I$55)&gt;0,$I$54*6/$I$55,"")</f>
        <v/>
      </c>
      <c r="J56" s="29">
        <f>""</f>
        <v/>
      </c>
      <c r="K56" s="29">
        <f>""</f>
        <v/>
      </c>
      <c r="L56" s="29">
        <f>""</f>
        <v/>
      </c>
      <c r="M56" s="29">
        <f>IF($I$28&lt;7,"",IFERROR((INDEX($D$6:$D$65,$I$28-3)-INDEX($D$6:$D$65,$I$28-4))/1,""))</f>
        <v/>
      </c>
      <c r="N56" s="29">
        <f>IF($I$28&lt;7,"",IFERROR((INDEX($D$6:$D$65,$I$28-2)-INDEX($D$6:$D$65,$I$28-4))/2,""))</f>
        <v/>
      </c>
      <c r="O56" s="29">
        <f>IF($I$28&lt;7,"",IFERROR((INDEX($D$6:$D$65,$I$28-1)-INDEX($D$6:$D$65,$I$28-4))/3,""))</f>
        <v/>
      </c>
      <c r="P56" s="29">
        <f>IF($I$28&lt;7,"",IFERROR((INDEX($D$6:$D$65,$I$28-0)-INDEX($D$6:$D$65,$I$28-4))/4,""))</f>
        <v/>
      </c>
      <c r="AA56" s="12">
        <f>IF(ISNUMBER(D56),D56,0)</f>
        <v/>
      </c>
      <c r="AB56" s="13">
        <f>IF(ISNUMBER(E56),E56,0)</f>
        <v/>
      </c>
    </row>
    <row r="57">
      <c r="A57" s="6" t="n">
        <v>52</v>
      </c>
      <c r="B57" s="8" t="n">
        <v>11946</v>
      </c>
      <c r="C57" s="9" t="n">
        <v>179</v>
      </c>
      <c r="D57" s="10" t="n">
        <v>5.821639</v>
      </c>
      <c r="E57" s="11">
        <f>IF(B57&gt;0,C57/B57,"")</f>
        <v/>
      </c>
      <c r="F57" s="8" t="n"/>
      <c r="J57" s="29">
        <f>""</f>
        <v/>
      </c>
      <c r="K57" s="29">
        <f>""</f>
        <v/>
      </c>
      <c r="L57" s="29">
        <f>""</f>
        <v/>
      </c>
      <c r="M57" s="29">
        <f>""</f>
        <v/>
      </c>
      <c r="N57" s="29">
        <f>IF($I$28&lt;7,"",IFERROR((INDEX($D$6:$D$65,$I$28-2)-INDEX($D$6:$D$65,$I$28-3))/1,""))</f>
        <v/>
      </c>
      <c r="O57" s="29">
        <f>IF($I$28&lt;7,"",IFERROR((INDEX($D$6:$D$65,$I$28-1)-INDEX($D$6:$D$65,$I$28-3))/2,""))</f>
        <v/>
      </c>
      <c r="P57" s="29">
        <f>IF($I$28&lt;7,"",IFERROR((INDEX($D$6:$D$65,$I$28-0)-INDEX($D$6:$D$65,$I$28-3))/3,""))</f>
        <v/>
      </c>
      <c r="AA57" s="12">
        <f>IF(ISNUMBER(D57),D57,0)</f>
        <v/>
      </c>
      <c r="AB57" s="13">
        <f>IF(ISNUMBER(E57),E57,0)</f>
        <v/>
      </c>
    </row>
    <row r="58">
      <c r="A58" s="6" t="n">
        <v>53</v>
      </c>
      <c r="B58" s="8" t="n">
        <v>11876</v>
      </c>
      <c r="C58" s="9" t="n">
        <v>151</v>
      </c>
      <c r="D58" s="10" t="n">
        <v>5.955279</v>
      </c>
      <c r="E58" s="11">
        <f>IF(B58&gt;0,C58/B58,"")</f>
        <v/>
      </c>
      <c r="F58" s="8" t="n"/>
      <c r="H58" s="4" t="inlineStr">
        <is>
          <t>The fallback rung's thresholds</t>
        </is>
      </c>
      <c r="J58" s="29">
        <f>""</f>
        <v/>
      </c>
      <c r="K58" s="29">
        <f>""</f>
        <v/>
      </c>
      <c r="L58" s="29">
        <f>""</f>
        <v/>
      </c>
      <c r="M58" s="29">
        <f>""</f>
        <v/>
      </c>
      <c r="N58" s="29">
        <f>""</f>
        <v/>
      </c>
      <c r="O58" s="29">
        <f>IF($I$28&lt;7,"",IFERROR((INDEX($D$6:$D$65,$I$28-1)-INDEX($D$6:$D$65,$I$28-2))/1,""))</f>
        <v/>
      </c>
      <c r="P58" s="29">
        <f>IF($I$28&lt;7,"",IFERROR((INDEX($D$6:$D$65,$I$28-0)-INDEX($D$6:$D$65,$I$28-2))/2,""))</f>
        <v/>
      </c>
      <c r="AA58" s="12">
        <f>IF(ISNUMBER(D58),D58,0)</f>
        <v/>
      </c>
      <c r="AB58" s="13">
        <f>IF(ISNUMBER(E58),E58,0)</f>
        <v/>
      </c>
    </row>
    <row r="59">
      <c r="A59" s="6" t="n">
        <v>54</v>
      </c>
      <c r="B59" s="8" t="n">
        <v>12168</v>
      </c>
      <c r="C59" s="9" t="n">
        <v>160</v>
      </c>
      <c r="D59" s="10" t="n">
        <v>6.188601</v>
      </c>
      <c r="E59" s="11">
        <f>IF(B59&gt;0,C59/B59,"")</f>
        <v/>
      </c>
      <c r="F59" s="8" t="n"/>
      <c r="H59" s="6" t="inlineStr">
        <is>
          <t>A drop must clear this many standard errors</t>
        </is>
      </c>
      <c r="I59" s="16" t="n">
        <v>2</v>
      </c>
      <c r="J59" s="29">
        <f>""</f>
        <v/>
      </c>
      <c r="K59" s="29">
        <f>""</f>
        <v/>
      </c>
      <c r="L59" s="29">
        <f>""</f>
        <v/>
      </c>
      <c r="M59" s="29">
        <f>""</f>
        <v/>
      </c>
      <c r="N59" s="29">
        <f>""</f>
        <v/>
      </c>
      <c r="O59" s="29">
        <f>""</f>
        <v/>
      </c>
      <c r="P59" s="29">
        <f>IF($I$28&lt;7,"",IFERROR((INDEX($D$6:$D$65,$I$28-0)-INDEX($D$6:$D$65,$I$28-1))/1,""))</f>
        <v/>
      </c>
      <c r="AA59" s="12">
        <f>IF(ISNUMBER(D59),D59,0)</f>
        <v/>
      </c>
      <c r="AB59" s="13">
        <f>IF(ISNUMBER(E59),E59,0)</f>
        <v/>
      </c>
    </row>
    <row r="60">
      <c r="A60" s="6" t="n">
        <v>55</v>
      </c>
      <c r="B60" s="8" t="n">
        <v>12066</v>
      </c>
      <c r="C60" s="9" t="n">
        <v>145</v>
      </c>
      <c r="D60" s="10" t="n">
        <v>6.138283</v>
      </c>
      <c r="E60" s="11">
        <f>IF(B60&gt;0,C60/B60,"")</f>
        <v/>
      </c>
      <c r="F60" s="8" t="n"/>
      <c r="H60" s="6" t="inlineStr">
        <is>
          <t>...and be at least this big in plain percent</t>
        </is>
      </c>
      <c r="I60" s="14" t="n">
        <v>0.1</v>
      </c>
      <c r="J60" s="29">
        <f>""</f>
        <v/>
      </c>
      <c r="K60" s="29">
        <f>""</f>
        <v/>
      </c>
      <c r="L60" s="29">
        <f>""</f>
        <v/>
      </c>
      <c r="M60" s="29">
        <f>""</f>
        <v/>
      </c>
      <c r="N60" s="29">
        <f>""</f>
        <v/>
      </c>
      <c r="O60" s="29">
        <f>""</f>
        <v/>
      </c>
      <c r="P60" s="29">
        <f>""</f>
        <v/>
      </c>
      <c r="AA60" s="12">
        <f>IF(ISNUMBER(D60),D60,0)</f>
        <v/>
      </c>
      <c r="AB60" s="13">
        <f>IF(ISNUMBER(E60),E60,0)</f>
        <v/>
      </c>
    </row>
    <row r="61">
      <c r="A61" s="6" t="n">
        <v>56</v>
      </c>
      <c r="B61" s="8" t="n">
        <v>11778</v>
      </c>
      <c r="C61" s="9" t="n">
        <v>172</v>
      </c>
      <c r="D61" s="10" t="n">
        <v>6.114701</v>
      </c>
      <c r="E61" s="11">
        <f>IF(B61&gt;0,C61/B61,"")</f>
        <v/>
      </c>
      <c r="F61" s="8" t="n"/>
      <c r="H61" s="6" t="inlineStr">
        <is>
          <t>Each window needs at least this many impressions</t>
        </is>
      </c>
      <c r="I61" s="30" t="n">
        <v>1000</v>
      </c>
      <c r="AA61" s="12">
        <f>IF(ISNUMBER(D61),D61,0)</f>
        <v/>
      </c>
      <c r="AB61" s="13">
        <f>IF(ISNUMBER(E61),E61,0)</f>
        <v/>
      </c>
    </row>
    <row r="62">
      <c r="A62" s="6" t="n">
        <v>57</v>
      </c>
      <c r="B62" s="8" t="n">
        <v>11981</v>
      </c>
      <c r="C62" s="9" t="n">
        <v>162</v>
      </c>
      <c r="D62" s="10" t="n">
        <v>6.356883</v>
      </c>
      <c r="E62" s="11">
        <f>IF(B62&gt;0,C62/B62,"")</f>
        <v/>
      </c>
      <c r="F62" s="8" t="n"/>
      <c r="H62" s="6" t="inlineStr">
        <is>
          <t>Exposure must rise by at least this share</t>
        </is>
      </c>
      <c r="I62" s="14" t="n">
        <v>0.05</v>
      </c>
      <c r="AA62" s="12">
        <f>IF(ISNUMBER(D62),D62,0)</f>
        <v/>
      </c>
      <c r="AB62" s="13">
        <f>IF(ISNUMBER(E62),E62,0)</f>
        <v/>
      </c>
    </row>
    <row r="63">
      <c r="A63" s="6" t="n">
        <v>58</v>
      </c>
      <c r="B63" s="8" t="n">
        <v>11876</v>
      </c>
      <c r="C63" s="9" t="n">
        <v>145</v>
      </c>
      <c r="D63" s="10" t="n">
        <v>6.218768</v>
      </c>
      <c r="E63" s="11">
        <f>IF(B63&gt;0,C63/B63,"")</f>
        <v/>
      </c>
      <c r="F63" s="8" t="n"/>
      <c r="H63" s="4" t="inlineStr">
        <is>
          <t>Where the last week lands if nothing had changed</t>
        </is>
      </c>
      <c r="AA63" s="12">
        <f>IF(ISNUMBER(D63),D63,0)</f>
        <v/>
      </c>
      <c r="AB63" s="13">
        <f>IF(ISNUMBER(E63),E63,0)</f>
        <v/>
      </c>
    </row>
    <row r="64">
      <c r="A64" s="6" t="n">
        <v>59</v>
      </c>
      <c r="B64" s="8" t="n">
        <v>12098</v>
      </c>
      <c r="C64" s="9" t="n">
        <v>162</v>
      </c>
      <c r="D64" s="10" t="n">
        <v>6.232664</v>
      </c>
      <c r="E64" s="11">
        <f>IF(B64&gt;0,C64/B64,"")</f>
        <v/>
      </c>
      <c r="F64" s="8" t="n"/>
      <c r="H64" s="6" t="inlineStr">
        <is>
          <t>...above</t>
        </is>
      </c>
      <c r="I64" s="22">
        <f>IF($I$50="","",$I$47-$I$59*$I$50)</f>
        <v/>
      </c>
      <c r="AA64" s="12">
        <f>IF(ISNUMBER(D64),D64,0)</f>
        <v/>
      </c>
      <c r="AB64" s="13">
        <f>IF(ISNUMBER(E64),E64,0)</f>
        <v/>
      </c>
    </row>
    <row r="65">
      <c r="A65" s="6" t="n">
        <v>60</v>
      </c>
      <c r="B65" s="8" t="n">
        <v>11842</v>
      </c>
      <c r="C65" s="9" t="n">
        <v>159</v>
      </c>
      <c r="D65" s="10" t="n">
        <v>6.531314</v>
      </c>
      <c r="E65" s="11">
        <f>IF(B65&gt;0,C65/B65,"")</f>
        <v/>
      </c>
      <c r="F65" s="8" t="n"/>
      <c r="H65" s="6" t="inlineStr">
        <is>
          <t>...and below</t>
        </is>
      </c>
      <c r="I65" s="22">
        <f>IF($I$50="","",$I$47+$I$59*$I$50)</f>
        <v/>
      </c>
      <c r="AA65" s="12">
        <f>IF(ISNUMBER(D65),D65,0)</f>
        <v/>
      </c>
      <c r="AB65" s="13">
        <f>IF(ISNUMBER(E65),E65,0)</f>
        <v/>
      </c>
    </row>
    <row r="68">
      <c r="H68" s="4" t="inlineStr">
        <is>
          <t>The verdict</t>
        </is>
      </c>
    </row>
    <row r="69" ht="30" customHeight="1">
      <c r="H69" s="31">
        <f>IF($I$28=0,"NOTHING ENTERED YET - fill the shaded cells.",IF($I$38,"WEARING OUT - FITTED: the rate falls along the exposure axis from the onset above; level, onset and decay are read off the grid",IF($I$28&lt;28,"CANNOT TELL - no bend the grid can support, and the fallback windows need 28 days",IF(OR($I$43&lt;$I$61,$I$45&lt;$I$61),"CANNOT TELL - too few impressions in a window to judge; a refusal, not a clean bill of health",IF(NOT(AND($I$51&gt;=$I$59,$I$49&gt;=$I$60)),"STEADY - the last week sits inside the range it would land in unchanged",IF($I$56&gt;=$I$62,"WEARING OUT - RANGE ONLY: below the no-change range while exposure rose materially; no onset and no rate","DECLINE, CAUSE UNKNOWN - below the range, but exposure did not rise; look at bids, budgets and the auction"))))))</f>
        <v/>
      </c>
    </row>
    <row r="70"/>
    <row r="71"/>
  </sheetData>
  <mergeCells count="3">
    <mergeCell ref="H69:I71"/>
    <mergeCell ref="H13:U13"/>
    <mergeCell ref="A2:I2"/>
  </mergeCells>
  <pageMargins left="0.75" right="0.75" top="1" bottom="1" header="0.5" footer="0.5"/>
</worksheet>
</file>

<file path=xl/worksheets/sheet2.xml><?xml version="1.0" encoding="utf-8"?>
<worksheet xmlns="http://schemas.openxmlformats.org/spreadsheetml/2006/main">
  <sheetPr>
    <tabColor rgb="000F6E56"/>
    <outlinePr summaryBelow="1" summaryRight="1"/>
    <pageSetUpPr/>
  </sheetPr>
  <dimension ref="A1:AB72"/>
  <sheetViews>
    <sheetView showGridLines="0" workbookViewId="0">
      <selection activeCell="A1" sqref="A1"/>
    </sheetView>
  </sheetViews>
  <sheetFormatPr baseColWidth="8" defaultRowHeight="15"/>
  <cols>
    <col width="8" customWidth="1" min="1" max="1"/>
    <col width="13" customWidth="1" min="2" max="2"/>
    <col width="10" customWidth="1" min="3" max="3"/>
    <col width="12" customWidth="1" min="4" max="4"/>
    <col width="11" customWidth="1" min="5" max="5"/>
    <col width="14" customWidth="1" min="6" max="6"/>
    <col width="3" customWidth="1" min="7" max="7"/>
    <col width="44" customWidth="1" min="8" max="8"/>
    <col width="16"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hidden="1" width="13" customWidth="1" min="27" max="27"/>
    <col hidden="1" width="13" customWidth="1" min="28" max="28"/>
  </cols>
  <sheetData>
    <row r="1">
      <c r="A1" s="1" t="inlineStr">
        <is>
          <t>Your own creative</t>
        </is>
      </c>
    </row>
    <row r="2" ht="58" customHeight="1">
      <c r="A2" s="2" t="inlineStr">
        <is>
          <t>Paste one row per day into the shaded cells: impressions, clicks, and people reached TO DATE (cumulative), from the top row down with no gaps, up to 60 days. Exposure and everything right of it recomputes. Nothing here leaves your computer. Without a reach column there is no exposure axis: the bend cannot be fitted and the fallback rung can report a decline but cannot separate fatigue from another cause.</t>
        </is>
      </c>
    </row>
    <row r="4">
      <c r="A4" s="3" t="inlineStr">
        <is>
          <t>One row per day. Exposure is impressions per person reached, cumulative.</t>
        </is>
      </c>
      <c r="H4" s="4" t="inlineStr">
        <is>
          <t>The method's settings</t>
        </is>
      </c>
    </row>
    <row r="5">
      <c r="A5" s="5" t="inlineStr">
        <is>
          <t>Day</t>
        </is>
      </c>
      <c r="B5" s="5" t="inlineStr">
        <is>
          <t>Impressions</t>
        </is>
      </c>
      <c r="C5" s="5" t="inlineStr">
        <is>
          <t>Clicks</t>
        </is>
      </c>
      <c r="D5" s="5" t="inlineStr">
        <is>
          <t>Exposure</t>
        </is>
      </c>
      <c r="E5" s="5" t="inlineStr">
        <is>
          <t>Rate</t>
        </is>
      </c>
      <c r="F5" s="5" t="inlineStr">
        <is>
          <t>Reach to date</t>
        </is>
      </c>
      <c r="H5" s="6" t="inlineStr">
        <is>
          <t>Points needed before a bend</t>
        </is>
      </c>
      <c r="I5" s="7" t="n">
        <v>3</v>
      </c>
      <c r="AA5" s="3" t="inlineStr">
        <is>
          <t>exposure, for the fits</t>
        </is>
      </c>
      <c r="AB5" s="3" t="inlineStr">
        <is>
          <t>rate, for the fits</t>
        </is>
      </c>
    </row>
    <row r="6">
      <c r="A6" s="6" t="n">
        <v>1</v>
      </c>
      <c r="B6" s="32" t="n"/>
      <c r="C6" s="33" t="n"/>
      <c r="D6" s="10">
        <f>IF(AND(F6&gt;0,B6&gt;0),SUM($B$6:B6)/F6,"")</f>
        <v/>
      </c>
      <c r="E6" s="11">
        <f>IF(B6&gt;0,C6/B6,"")</f>
        <v/>
      </c>
      <c r="F6" s="32" t="n"/>
      <c r="H6" s="6" t="inlineStr">
        <is>
          <t>Points needed after a bend</t>
        </is>
      </c>
      <c r="I6" s="7" t="n">
        <v>5</v>
      </c>
      <c r="AA6" s="12">
        <f>IF(ISNUMBER(D6),D6,0)</f>
        <v/>
      </c>
      <c r="AB6" s="13">
        <f>IF(ISNUMBER(E6),E6,0)</f>
        <v/>
      </c>
    </row>
    <row r="7">
      <c r="A7" s="6" t="n">
        <v>2</v>
      </c>
      <c r="B7" s="32" t="n"/>
      <c r="C7" s="33" t="n"/>
      <c r="D7" s="10">
        <f>IF(AND(F7&gt;0,B7&gt;0),SUM($B$6:B7)/F7,"")</f>
        <v/>
      </c>
      <c r="E7" s="11">
        <f>IF(B7&gt;0,C7/B7,"")</f>
        <v/>
      </c>
      <c r="F7" s="32" t="n"/>
      <c r="H7" s="6" t="inlineStr">
        <is>
          <t>Decaying side must span this share of the exposure range</t>
        </is>
      </c>
      <c r="I7" s="14" t="n">
        <v>0.15</v>
      </c>
      <c r="AA7" s="12">
        <f>IF(ISNUMBER(D7),D7,0)</f>
        <v/>
      </c>
      <c r="AB7" s="13">
        <f>IF(ISNUMBER(E7),E7,0)</f>
        <v/>
      </c>
    </row>
    <row r="8">
      <c r="A8" s="6" t="n">
        <v>3</v>
      </c>
      <c r="B8" s="32" t="n"/>
      <c r="C8" s="33" t="n"/>
      <c r="D8" s="10">
        <f>IF(AND(F8&gt;0,B8&gt;0),SUM($B$6:B8)/F8,"")</f>
        <v/>
      </c>
      <c r="E8" s="11">
        <f>IF(B8&gt;0,C8/B8,"")</f>
        <v/>
      </c>
      <c r="F8" s="32" t="n"/>
      <c r="H8" s="6" t="inlineStr">
        <is>
          <t>Exposure must have moved by at least (impressions per person)</t>
        </is>
      </c>
      <c r="I8" s="15" t="n">
        <v>0.5</v>
      </c>
      <c r="AA8" s="12">
        <f>IF(ISNUMBER(D8),D8,0)</f>
        <v/>
      </c>
      <c r="AB8" s="13">
        <f>IF(ISNUMBER(E8),E8,0)</f>
        <v/>
      </c>
    </row>
    <row r="9">
      <c r="A9" s="6" t="n">
        <v>4</v>
      </c>
      <c r="B9" s="32" t="n"/>
      <c r="C9" s="33" t="n"/>
      <c r="D9" s="10">
        <f>IF(AND(F9&gt;0,B9&gt;0),SUM($B$6:B9)/F9,"")</f>
        <v/>
      </c>
      <c r="E9" s="11">
        <f>IF(B9&gt;0,C9/B9,"")</f>
        <v/>
      </c>
      <c r="F9" s="32" t="n"/>
      <c r="H9" s="6" t="inlineStr">
        <is>
          <t>A bend must beat a flat line by this much (information criterion)</t>
        </is>
      </c>
      <c r="I9" s="16" t="n">
        <v>6</v>
      </c>
      <c r="AA9" s="12">
        <f>IF(ISNUMBER(D9),D9,0)</f>
        <v/>
      </c>
      <c r="AB9" s="13">
        <f>IF(ISNUMBER(E9),E9,0)</f>
        <v/>
      </c>
    </row>
    <row r="10">
      <c r="A10" s="6" t="n">
        <v>5</v>
      </c>
      <c r="B10" s="32" t="n"/>
      <c r="C10" s="33" t="n"/>
      <c r="D10" s="10">
        <f>IF(AND(F10&gt;0,B10&gt;0),SUM($B$6:B10)/F10,"")</f>
        <v/>
      </c>
      <c r="E10" s="11">
        <f>IF(B10&gt;0,C10/B10,"")</f>
        <v/>
      </c>
      <c r="F10" s="32" t="n"/>
      <c r="AA10" s="12">
        <f>IF(ISNUMBER(D10),D10,0)</f>
        <v/>
      </c>
      <c r="AB10" s="13">
        <f>IF(ISNUMBER(E10),E10,0)</f>
        <v/>
      </c>
    </row>
    <row r="11">
      <c r="A11" s="6" t="n">
        <v>6</v>
      </c>
      <c r="B11" s="32" t="n"/>
      <c r="C11" s="33" t="n"/>
      <c r="D11" s="10">
        <f>IF(AND(F11&gt;0,B11&gt;0),SUM($B$6:B11)/F11,"")</f>
        <v/>
      </c>
      <c r="E11" s="11">
        <f>IF(B11&gt;0,C11/B11,"")</f>
        <v/>
      </c>
      <c r="F11" s="32" t="n"/>
      <c r="AA11" s="12">
        <f>IF(ISNUMBER(D11),D11,0)</f>
        <v/>
      </c>
      <c r="AB11" s="13">
        <f>IF(ISNUMBER(E11),E11,0)</f>
        <v/>
      </c>
    </row>
    <row r="12">
      <c r="A12" s="6" t="n">
        <v>7</v>
      </c>
      <c r="B12" s="32" t="n"/>
      <c r="C12" s="33" t="n"/>
      <c r="D12" s="10">
        <f>IF(AND(F12&gt;0,B12&gt;0),SUM($B$6:B12)/F12,"")</f>
        <v/>
      </c>
      <c r="E12" s="11">
        <f>IF(B12&gt;0,C12/B12,"")</f>
        <v/>
      </c>
      <c r="F12" s="32" t="n"/>
      <c r="H12" s="4" t="inlineStr">
        <is>
          <t>The bend, fitted on a coarse grid (SIMPLIFIED)</t>
        </is>
      </c>
      <c r="AA12" s="12">
        <f>IF(ISNUMBER(D12),D12,0)</f>
        <v/>
      </c>
      <c r="AB12" s="13">
        <f>IF(ISNUMBER(E12),E12,0)</f>
        <v/>
      </c>
    </row>
    <row r="13" ht="44" customHeight="1">
      <c r="A13" s="6" t="n">
        <v>8</v>
      </c>
      <c r="B13" s="32" t="n"/>
      <c r="C13" s="33" t="n"/>
      <c r="D13" s="10">
        <f>IF(AND(F13&gt;0,B13&gt;0),SUM($B$6:B13)/F13,"")</f>
        <v/>
      </c>
      <c r="E13" s="11">
        <f>IF(B13&gt;0,C13/B13,"")</f>
        <v/>
      </c>
      <c r="F13" s="32" t="n"/>
      <c r="H13" s="2" t="inlineStr">
        <is>
          <t>Rows: candidate onsets across the middle of the observed exposure range. Columns: candidate decays per impression per person. Each cell is the weighted residual sum of squares with the level solved in closed form; blank where the candidate has too few points on a side or too short a tail. The notebook searches 40 onsets by 60 decays and refines; this sheet does 10 by 12.</t>
        </is>
      </c>
      <c r="AA13" s="12">
        <f>IF(ISNUMBER(D13),D13,0)</f>
        <v/>
      </c>
      <c r="AB13" s="13">
        <f>IF(ISNUMBER(E13),E13,0)</f>
        <v/>
      </c>
    </row>
    <row r="14">
      <c r="A14" s="6" t="n">
        <v>9</v>
      </c>
      <c r="B14" s="32" t="n"/>
      <c r="C14" s="33" t="n"/>
      <c r="D14" s="10">
        <f>IF(AND(F14&gt;0,B14&gt;0),SUM($B$6:B14)/F14,"")</f>
        <v/>
      </c>
      <c r="E14" s="11">
        <f>IF(B14&gt;0,C14/B14,"")</f>
        <v/>
      </c>
      <c r="F14" s="32" t="n"/>
      <c r="AA14" s="12">
        <f>IF(ISNUMBER(D14),D14,0)</f>
        <v/>
      </c>
      <c r="AB14" s="13">
        <f>IF(ISNUMBER(E14),E14,0)</f>
        <v/>
      </c>
    </row>
    <row r="15">
      <c r="A15" s="6" t="n">
        <v>10</v>
      </c>
      <c r="B15" s="32" t="n"/>
      <c r="C15" s="33" t="n"/>
      <c r="D15" s="10">
        <f>IF(AND(F15&gt;0,B15&gt;0),SUM($B$6:B15)/F15,"")</f>
        <v/>
      </c>
      <c r="E15" s="11">
        <f>IF(B15&gt;0,C15/B15,"")</f>
        <v/>
      </c>
      <c r="F15" s="32" t="n"/>
      <c r="H15" s="5" t="inlineStr">
        <is>
          <t>onset  \  decay</t>
        </is>
      </c>
      <c r="J15" s="17" t="n">
        <v>0.01</v>
      </c>
      <c r="K15" s="17" t="n">
        <v>0.0176</v>
      </c>
      <c r="L15" s="17" t="n">
        <v>0.031</v>
      </c>
      <c r="M15" s="17" t="n">
        <v>0.0545</v>
      </c>
      <c r="N15" s="17" t="n">
        <v>0.0958</v>
      </c>
      <c r="O15" s="17" t="n">
        <v>0.1686</v>
      </c>
      <c r="P15" s="17" t="n">
        <v>0.2966</v>
      </c>
      <c r="Q15" s="17" t="n">
        <v>0.5218</v>
      </c>
      <c r="R15" s="17" t="n">
        <v>0.9181</v>
      </c>
      <c r="S15" s="17" t="n">
        <v>1.6153</v>
      </c>
      <c r="T15" s="17" t="n">
        <v>2.8419</v>
      </c>
      <c r="U15" s="17" t="n">
        <v>5</v>
      </c>
      <c r="V15" s="5" t="inlineStr">
        <is>
          <t>row best</t>
        </is>
      </c>
      <c r="W15" s="5" t="inlineStr">
        <is>
          <t>at decay #</t>
        </is>
      </c>
      <c r="AA15" s="12">
        <f>IF(ISNUMBER(D15),D15,0)</f>
        <v/>
      </c>
      <c r="AB15" s="13">
        <f>IF(ISNUMBER(E15),E15,0)</f>
        <v/>
      </c>
    </row>
    <row r="16">
      <c r="A16" s="6" t="n">
        <v>11</v>
      </c>
      <c r="B16" s="32" t="n"/>
      <c r="C16" s="33" t="n"/>
      <c r="D16" s="10">
        <f>IF(AND(F16&gt;0,B16&gt;0),SUM($B$6:B16)/F16,"")</f>
        <v/>
      </c>
      <c r="E16" s="11">
        <f>IF(B16&gt;0,C16/B16,"")</f>
        <v/>
      </c>
      <c r="F16" s="32" t="n"/>
      <c r="I16" s="17">
        <f>MIN($D$6:$D$65)+(MAX($D$6:$D$65)-MIN($D$6:$D$65))*0.1000</f>
        <v/>
      </c>
      <c r="J16" s="18">
        <f>IF(OR(COUNTIF($D$6:$D$65,"&lt;"&amp;$I16)&lt;$I$5,COUNTIF($D$6:$D$65,"&gt;="&amp;$I16)&lt;$I$6,(MAX($D$6:$D$65)-$I16)/(MAX($D$6:$D$65)-MIN($D$6:$D$65))&lt;$I$7),"",SUMPRODUCT($B$6:$B$65*(((SUMPRODUCT($B$6:$B$65*$AB$6:$AB$65*EXP(-J$15*((($AA$6:$AA$65-$I16)&gt;0)*($AA$6:$AA$65-$I16))))/SUMPRODUCT($B$6:$B$65*EXP(-J$15*((($AA$6:$AA$65-$I16)&gt;0)*($AA$6:$AA$65-$I16)))*EXP(-J$15*((($AA$6:$AA$65-$I16)&gt;0)*($AA$6:$AA$65-$I16))))))*EXP(-J$15*((($AA$6:$AA$65-$I16)&gt;0)*($AA$6:$AA$65-$I16)))-$AB$6:$AB$65)^2))</f>
        <v/>
      </c>
      <c r="K16" s="18">
        <f>IF(OR(COUNTIF($D$6:$D$65,"&lt;"&amp;$I16)&lt;$I$5,COUNTIF($D$6:$D$65,"&gt;="&amp;$I16)&lt;$I$6,(MAX($D$6:$D$65)-$I16)/(MAX($D$6:$D$65)-MIN($D$6:$D$65))&lt;$I$7),"",SUMPRODUCT($B$6:$B$65*(((SUMPRODUCT($B$6:$B$65*$AB$6:$AB$65*EXP(-K$15*((($AA$6:$AA$65-$I16)&gt;0)*($AA$6:$AA$65-$I16))))/SUMPRODUCT($B$6:$B$65*EXP(-K$15*((($AA$6:$AA$65-$I16)&gt;0)*($AA$6:$AA$65-$I16)))*EXP(-K$15*((($AA$6:$AA$65-$I16)&gt;0)*($AA$6:$AA$65-$I16))))))*EXP(-K$15*((($AA$6:$AA$65-$I16)&gt;0)*($AA$6:$AA$65-$I16)))-$AB$6:$AB$65)^2))</f>
        <v/>
      </c>
      <c r="L16" s="18">
        <f>IF(OR(COUNTIF($D$6:$D$65,"&lt;"&amp;$I16)&lt;$I$5,COUNTIF($D$6:$D$65,"&gt;="&amp;$I16)&lt;$I$6,(MAX($D$6:$D$65)-$I16)/(MAX($D$6:$D$65)-MIN($D$6:$D$65))&lt;$I$7),"",SUMPRODUCT($B$6:$B$65*(((SUMPRODUCT($B$6:$B$65*$AB$6:$AB$65*EXP(-L$15*((($AA$6:$AA$65-$I16)&gt;0)*($AA$6:$AA$65-$I16))))/SUMPRODUCT($B$6:$B$65*EXP(-L$15*((($AA$6:$AA$65-$I16)&gt;0)*($AA$6:$AA$65-$I16)))*EXP(-L$15*((($AA$6:$AA$65-$I16)&gt;0)*($AA$6:$AA$65-$I16))))))*EXP(-L$15*((($AA$6:$AA$65-$I16)&gt;0)*($AA$6:$AA$65-$I16)))-$AB$6:$AB$65)^2))</f>
        <v/>
      </c>
      <c r="M16" s="18">
        <f>IF(OR(COUNTIF($D$6:$D$65,"&lt;"&amp;$I16)&lt;$I$5,COUNTIF($D$6:$D$65,"&gt;="&amp;$I16)&lt;$I$6,(MAX($D$6:$D$65)-$I16)/(MAX($D$6:$D$65)-MIN($D$6:$D$65))&lt;$I$7),"",SUMPRODUCT($B$6:$B$65*(((SUMPRODUCT($B$6:$B$65*$AB$6:$AB$65*EXP(-M$15*((($AA$6:$AA$65-$I16)&gt;0)*($AA$6:$AA$65-$I16))))/SUMPRODUCT($B$6:$B$65*EXP(-M$15*((($AA$6:$AA$65-$I16)&gt;0)*($AA$6:$AA$65-$I16)))*EXP(-M$15*((($AA$6:$AA$65-$I16)&gt;0)*($AA$6:$AA$65-$I16))))))*EXP(-M$15*((($AA$6:$AA$65-$I16)&gt;0)*($AA$6:$AA$65-$I16)))-$AB$6:$AB$65)^2))</f>
        <v/>
      </c>
      <c r="N16" s="18">
        <f>IF(OR(COUNTIF($D$6:$D$65,"&lt;"&amp;$I16)&lt;$I$5,COUNTIF($D$6:$D$65,"&gt;="&amp;$I16)&lt;$I$6,(MAX($D$6:$D$65)-$I16)/(MAX($D$6:$D$65)-MIN($D$6:$D$65))&lt;$I$7),"",SUMPRODUCT($B$6:$B$65*(((SUMPRODUCT($B$6:$B$65*$AB$6:$AB$65*EXP(-N$15*((($AA$6:$AA$65-$I16)&gt;0)*($AA$6:$AA$65-$I16))))/SUMPRODUCT($B$6:$B$65*EXP(-N$15*((($AA$6:$AA$65-$I16)&gt;0)*($AA$6:$AA$65-$I16)))*EXP(-N$15*((($AA$6:$AA$65-$I16)&gt;0)*($AA$6:$AA$65-$I16))))))*EXP(-N$15*((($AA$6:$AA$65-$I16)&gt;0)*($AA$6:$AA$65-$I16)))-$AB$6:$AB$65)^2))</f>
        <v/>
      </c>
      <c r="O16" s="18">
        <f>IF(OR(COUNTIF($D$6:$D$65,"&lt;"&amp;$I16)&lt;$I$5,COUNTIF($D$6:$D$65,"&gt;="&amp;$I16)&lt;$I$6,(MAX($D$6:$D$65)-$I16)/(MAX($D$6:$D$65)-MIN($D$6:$D$65))&lt;$I$7),"",SUMPRODUCT($B$6:$B$65*(((SUMPRODUCT($B$6:$B$65*$AB$6:$AB$65*EXP(-O$15*((($AA$6:$AA$65-$I16)&gt;0)*($AA$6:$AA$65-$I16))))/SUMPRODUCT($B$6:$B$65*EXP(-O$15*((($AA$6:$AA$65-$I16)&gt;0)*($AA$6:$AA$65-$I16)))*EXP(-O$15*((($AA$6:$AA$65-$I16)&gt;0)*($AA$6:$AA$65-$I16))))))*EXP(-O$15*((($AA$6:$AA$65-$I16)&gt;0)*($AA$6:$AA$65-$I16)))-$AB$6:$AB$65)^2))</f>
        <v/>
      </c>
      <c r="P16" s="18">
        <f>IF(OR(COUNTIF($D$6:$D$65,"&lt;"&amp;$I16)&lt;$I$5,COUNTIF($D$6:$D$65,"&gt;="&amp;$I16)&lt;$I$6,(MAX($D$6:$D$65)-$I16)/(MAX($D$6:$D$65)-MIN($D$6:$D$65))&lt;$I$7),"",SUMPRODUCT($B$6:$B$65*(((SUMPRODUCT($B$6:$B$65*$AB$6:$AB$65*EXP(-P$15*((($AA$6:$AA$65-$I16)&gt;0)*($AA$6:$AA$65-$I16))))/SUMPRODUCT($B$6:$B$65*EXP(-P$15*((($AA$6:$AA$65-$I16)&gt;0)*($AA$6:$AA$65-$I16)))*EXP(-P$15*((($AA$6:$AA$65-$I16)&gt;0)*($AA$6:$AA$65-$I16))))))*EXP(-P$15*((($AA$6:$AA$65-$I16)&gt;0)*($AA$6:$AA$65-$I16)))-$AB$6:$AB$65)^2))</f>
        <v/>
      </c>
      <c r="Q16" s="18">
        <f>IF(OR(COUNTIF($D$6:$D$65,"&lt;"&amp;$I16)&lt;$I$5,COUNTIF($D$6:$D$65,"&gt;="&amp;$I16)&lt;$I$6,(MAX($D$6:$D$65)-$I16)/(MAX($D$6:$D$65)-MIN($D$6:$D$65))&lt;$I$7),"",SUMPRODUCT($B$6:$B$65*(((SUMPRODUCT($B$6:$B$65*$AB$6:$AB$65*EXP(-Q$15*((($AA$6:$AA$65-$I16)&gt;0)*($AA$6:$AA$65-$I16))))/SUMPRODUCT($B$6:$B$65*EXP(-Q$15*((($AA$6:$AA$65-$I16)&gt;0)*($AA$6:$AA$65-$I16)))*EXP(-Q$15*((($AA$6:$AA$65-$I16)&gt;0)*($AA$6:$AA$65-$I16))))))*EXP(-Q$15*((($AA$6:$AA$65-$I16)&gt;0)*($AA$6:$AA$65-$I16)))-$AB$6:$AB$65)^2))</f>
        <v/>
      </c>
      <c r="R16" s="18">
        <f>IF(OR(COUNTIF($D$6:$D$65,"&lt;"&amp;$I16)&lt;$I$5,COUNTIF($D$6:$D$65,"&gt;="&amp;$I16)&lt;$I$6,(MAX($D$6:$D$65)-$I16)/(MAX($D$6:$D$65)-MIN($D$6:$D$65))&lt;$I$7),"",SUMPRODUCT($B$6:$B$65*(((SUMPRODUCT($B$6:$B$65*$AB$6:$AB$65*EXP(-R$15*((($AA$6:$AA$65-$I16)&gt;0)*($AA$6:$AA$65-$I16))))/SUMPRODUCT($B$6:$B$65*EXP(-R$15*((($AA$6:$AA$65-$I16)&gt;0)*($AA$6:$AA$65-$I16)))*EXP(-R$15*((($AA$6:$AA$65-$I16)&gt;0)*($AA$6:$AA$65-$I16))))))*EXP(-R$15*((($AA$6:$AA$65-$I16)&gt;0)*($AA$6:$AA$65-$I16)))-$AB$6:$AB$65)^2))</f>
        <v/>
      </c>
      <c r="S16" s="18">
        <f>IF(OR(COUNTIF($D$6:$D$65,"&lt;"&amp;$I16)&lt;$I$5,COUNTIF($D$6:$D$65,"&gt;="&amp;$I16)&lt;$I$6,(MAX($D$6:$D$65)-$I16)/(MAX($D$6:$D$65)-MIN($D$6:$D$65))&lt;$I$7),"",SUMPRODUCT($B$6:$B$65*(((SUMPRODUCT($B$6:$B$65*$AB$6:$AB$65*EXP(-S$15*((($AA$6:$AA$65-$I16)&gt;0)*($AA$6:$AA$65-$I16))))/SUMPRODUCT($B$6:$B$65*EXP(-S$15*((($AA$6:$AA$65-$I16)&gt;0)*($AA$6:$AA$65-$I16)))*EXP(-S$15*((($AA$6:$AA$65-$I16)&gt;0)*($AA$6:$AA$65-$I16))))))*EXP(-S$15*((($AA$6:$AA$65-$I16)&gt;0)*($AA$6:$AA$65-$I16)))-$AB$6:$AB$65)^2))</f>
        <v/>
      </c>
      <c r="T16" s="18">
        <f>IF(OR(COUNTIF($D$6:$D$65,"&lt;"&amp;$I16)&lt;$I$5,COUNTIF($D$6:$D$65,"&gt;="&amp;$I16)&lt;$I$6,(MAX($D$6:$D$65)-$I16)/(MAX($D$6:$D$65)-MIN($D$6:$D$65))&lt;$I$7),"",SUMPRODUCT($B$6:$B$65*(((SUMPRODUCT($B$6:$B$65*$AB$6:$AB$65*EXP(-T$15*((($AA$6:$AA$65-$I16)&gt;0)*($AA$6:$AA$65-$I16))))/SUMPRODUCT($B$6:$B$65*EXP(-T$15*((($AA$6:$AA$65-$I16)&gt;0)*($AA$6:$AA$65-$I16)))*EXP(-T$15*((($AA$6:$AA$65-$I16)&gt;0)*($AA$6:$AA$65-$I16))))))*EXP(-T$15*((($AA$6:$AA$65-$I16)&gt;0)*($AA$6:$AA$65-$I16)))-$AB$6:$AB$65)^2))</f>
        <v/>
      </c>
      <c r="U16" s="18">
        <f>IF(OR(COUNTIF($D$6:$D$65,"&lt;"&amp;$I16)&lt;$I$5,COUNTIF($D$6:$D$65,"&gt;="&amp;$I16)&lt;$I$6,(MAX($D$6:$D$65)-$I16)/(MAX($D$6:$D$65)-MIN($D$6:$D$65))&lt;$I$7),"",SUMPRODUCT($B$6:$B$65*(((SUMPRODUCT($B$6:$B$65*$AB$6:$AB$65*EXP(-U$15*((($AA$6:$AA$65-$I16)&gt;0)*($AA$6:$AA$65-$I16))))/SUMPRODUCT($B$6:$B$65*EXP(-U$15*((($AA$6:$AA$65-$I16)&gt;0)*($AA$6:$AA$65-$I16)))*EXP(-U$15*((($AA$6:$AA$65-$I16)&gt;0)*($AA$6:$AA$65-$I16))))))*EXP(-U$15*((($AA$6:$AA$65-$I16)&gt;0)*($AA$6:$AA$65-$I16)))-$AB$6:$AB$65)^2))</f>
        <v/>
      </c>
      <c r="V16" s="18">
        <f>IF(COUNT(J16:U16)=0,"",MIN(J16:U16))</f>
        <v/>
      </c>
      <c r="W16" s="6">
        <f>IF(COUNT(J16:U16)=0,"",MATCH(V16,J16:U16,0))</f>
        <v/>
      </c>
      <c r="AA16" s="12">
        <f>IF(ISNUMBER(D16),D16,0)</f>
        <v/>
      </c>
      <c r="AB16" s="13">
        <f>IF(ISNUMBER(E16),E16,0)</f>
        <v/>
      </c>
    </row>
    <row r="17">
      <c r="A17" s="6" t="n">
        <v>12</v>
      </c>
      <c r="B17" s="32" t="n"/>
      <c r="C17" s="33" t="n"/>
      <c r="D17" s="10">
        <f>IF(AND(F17&gt;0,B17&gt;0),SUM($B$6:B17)/F17,"")</f>
        <v/>
      </c>
      <c r="E17" s="11">
        <f>IF(B17&gt;0,C17/B17,"")</f>
        <v/>
      </c>
      <c r="F17" s="32" t="n"/>
      <c r="I17" s="17">
        <f>MIN($D$6:$D$65)+(MAX($D$6:$D$65)-MIN($D$6:$D$65))*0.1889</f>
        <v/>
      </c>
      <c r="J17" s="18">
        <f>IF(OR(COUNTIF($D$6:$D$65,"&lt;"&amp;$I17)&lt;$I$5,COUNTIF($D$6:$D$65,"&gt;="&amp;$I17)&lt;$I$6,(MAX($D$6:$D$65)-$I17)/(MAX($D$6:$D$65)-MIN($D$6:$D$65))&lt;$I$7),"",SUMPRODUCT($B$6:$B$65*(((SUMPRODUCT($B$6:$B$65*$AB$6:$AB$65*EXP(-J$15*((($AA$6:$AA$65-$I17)&gt;0)*($AA$6:$AA$65-$I17))))/SUMPRODUCT($B$6:$B$65*EXP(-J$15*((($AA$6:$AA$65-$I17)&gt;0)*($AA$6:$AA$65-$I17)))*EXP(-J$15*((($AA$6:$AA$65-$I17)&gt;0)*($AA$6:$AA$65-$I17))))))*EXP(-J$15*((($AA$6:$AA$65-$I17)&gt;0)*($AA$6:$AA$65-$I17)))-$AB$6:$AB$65)^2))</f>
        <v/>
      </c>
      <c r="K17" s="18">
        <f>IF(OR(COUNTIF($D$6:$D$65,"&lt;"&amp;$I17)&lt;$I$5,COUNTIF($D$6:$D$65,"&gt;="&amp;$I17)&lt;$I$6,(MAX($D$6:$D$65)-$I17)/(MAX($D$6:$D$65)-MIN($D$6:$D$65))&lt;$I$7),"",SUMPRODUCT($B$6:$B$65*(((SUMPRODUCT($B$6:$B$65*$AB$6:$AB$65*EXP(-K$15*((($AA$6:$AA$65-$I17)&gt;0)*($AA$6:$AA$65-$I17))))/SUMPRODUCT($B$6:$B$65*EXP(-K$15*((($AA$6:$AA$65-$I17)&gt;0)*($AA$6:$AA$65-$I17)))*EXP(-K$15*((($AA$6:$AA$65-$I17)&gt;0)*($AA$6:$AA$65-$I17))))))*EXP(-K$15*((($AA$6:$AA$65-$I17)&gt;0)*($AA$6:$AA$65-$I17)))-$AB$6:$AB$65)^2))</f>
        <v/>
      </c>
      <c r="L17" s="18">
        <f>IF(OR(COUNTIF($D$6:$D$65,"&lt;"&amp;$I17)&lt;$I$5,COUNTIF($D$6:$D$65,"&gt;="&amp;$I17)&lt;$I$6,(MAX($D$6:$D$65)-$I17)/(MAX($D$6:$D$65)-MIN($D$6:$D$65))&lt;$I$7),"",SUMPRODUCT($B$6:$B$65*(((SUMPRODUCT($B$6:$B$65*$AB$6:$AB$65*EXP(-L$15*((($AA$6:$AA$65-$I17)&gt;0)*($AA$6:$AA$65-$I17))))/SUMPRODUCT($B$6:$B$65*EXP(-L$15*((($AA$6:$AA$65-$I17)&gt;0)*($AA$6:$AA$65-$I17)))*EXP(-L$15*((($AA$6:$AA$65-$I17)&gt;0)*($AA$6:$AA$65-$I17))))))*EXP(-L$15*((($AA$6:$AA$65-$I17)&gt;0)*($AA$6:$AA$65-$I17)))-$AB$6:$AB$65)^2))</f>
        <v/>
      </c>
      <c r="M17" s="18">
        <f>IF(OR(COUNTIF($D$6:$D$65,"&lt;"&amp;$I17)&lt;$I$5,COUNTIF($D$6:$D$65,"&gt;="&amp;$I17)&lt;$I$6,(MAX($D$6:$D$65)-$I17)/(MAX($D$6:$D$65)-MIN($D$6:$D$65))&lt;$I$7),"",SUMPRODUCT($B$6:$B$65*(((SUMPRODUCT($B$6:$B$65*$AB$6:$AB$65*EXP(-M$15*((($AA$6:$AA$65-$I17)&gt;0)*($AA$6:$AA$65-$I17))))/SUMPRODUCT($B$6:$B$65*EXP(-M$15*((($AA$6:$AA$65-$I17)&gt;0)*($AA$6:$AA$65-$I17)))*EXP(-M$15*((($AA$6:$AA$65-$I17)&gt;0)*($AA$6:$AA$65-$I17))))))*EXP(-M$15*((($AA$6:$AA$65-$I17)&gt;0)*($AA$6:$AA$65-$I17)))-$AB$6:$AB$65)^2))</f>
        <v/>
      </c>
      <c r="N17" s="18">
        <f>IF(OR(COUNTIF($D$6:$D$65,"&lt;"&amp;$I17)&lt;$I$5,COUNTIF($D$6:$D$65,"&gt;="&amp;$I17)&lt;$I$6,(MAX($D$6:$D$65)-$I17)/(MAX($D$6:$D$65)-MIN($D$6:$D$65))&lt;$I$7),"",SUMPRODUCT($B$6:$B$65*(((SUMPRODUCT($B$6:$B$65*$AB$6:$AB$65*EXP(-N$15*((($AA$6:$AA$65-$I17)&gt;0)*($AA$6:$AA$65-$I17))))/SUMPRODUCT($B$6:$B$65*EXP(-N$15*((($AA$6:$AA$65-$I17)&gt;0)*($AA$6:$AA$65-$I17)))*EXP(-N$15*((($AA$6:$AA$65-$I17)&gt;0)*($AA$6:$AA$65-$I17))))))*EXP(-N$15*((($AA$6:$AA$65-$I17)&gt;0)*($AA$6:$AA$65-$I17)))-$AB$6:$AB$65)^2))</f>
        <v/>
      </c>
      <c r="O17" s="18">
        <f>IF(OR(COUNTIF($D$6:$D$65,"&lt;"&amp;$I17)&lt;$I$5,COUNTIF($D$6:$D$65,"&gt;="&amp;$I17)&lt;$I$6,(MAX($D$6:$D$65)-$I17)/(MAX($D$6:$D$65)-MIN($D$6:$D$65))&lt;$I$7),"",SUMPRODUCT($B$6:$B$65*(((SUMPRODUCT($B$6:$B$65*$AB$6:$AB$65*EXP(-O$15*((($AA$6:$AA$65-$I17)&gt;0)*($AA$6:$AA$65-$I17))))/SUMPRODUCT($B$6:$B$65*EXP(-O$15*((($AA$6:$AA$65-$I17)&gt;0)*($AA$6:$AA$65-$I17)))*EXP(-O$15*((($AA$6:$AA$65-$I17)&gt;0)*($AA$6:$AA$65-$I17))))))*EXP(-O$15*((($AA$6:$AA$65-$I17)&gt;0)*($AA$6:$AA$65-$I17)))-$AB$6:$AB$65)^2))</f>
        <v/>
      </c>
      <c r="P17" s="18">
        <f>IF(OR(COUNTIF($D$6:$D$65,"&lt;"&amp;$I17)&lt;$I$5,COUNTIF($D$6:$D$65,"&gt;="&amp;$I17)&lt;$I$6,(MAX($D$6:$D$65)-$I17)/(MAX($D$6:$D$65)-MIN($D$6:$D$65))&lt;$I$7),"",SUMPRODUCT($B$6:$B$65*(((SUMPRODUCT($B$6:$B$65*$AB$6:$AB$65*EXP(-P$15*((($AA$6:$AA$65-$I17)&gt;0)*($AA$6:$AA$65-$I17))))/SUMPRODUCT($B$6:$B$65*EXP(-P$15*((($AA$6:$AA$65-$I17)&gt;0)*($AA$6:$AA$65-$I17)))*EXP(-P$15*((($AA$6:$AA$65-$I17)&gt;0)*($AA$6:$AA$65-$I17))))))*EXP(-P$15*((($AA$6:$AA$65-$I17)&gt;0)*($AA$6:$AA$65-$I17)))-$AB$6:$AB$65)^2))</f>
        <v/>
      </c>
      <c r="Q17" s="18">
        <f>IF(OR(COUNTIF($D$6:$D$65,"&lt;"&amp;$I17)&lt;$I$5,COUNTIF($D$6:$D$65,"&gt;="&amp;$I17)&lt;$I$6,(MAX($D$6:$D$65)-$I17)/(MAX($D$6:$D$65)-MIN($D$6:$D$65))&lt;$I$7),"",SUMPRODUCT($B$6:$B$65*(((SUMPRODUCT($B$6:$B$65*$AB$6:$AB$65*EXP(-Q$15*((($AA$6:$AA$65-$I17)&gt;0)*($AA$6:$AA$65-$I17))))/SUMPRODUCT($B$6:$B$65*EXP(-Q$15*((($AA$6:$AA$65-$I17)&gt;0)*($AA$6:$AA$65-$I17)))*EXP(-Q$15*((($AA$6:$AA$65-$I17)&gt;0)*($AA$6:$AA$65-$I17))))))*EXP(-Q$15*((($AA$6:$AA$65-$I17)&gt;0)*($AA$6:$AA$65-$I17)))-$AB$6:$AB$65)^2))</f>
        <v/>
      </c>
      <c r="R17" s="18">
        <f>IF(OR(COUNTIF($D$6:$D$65,"&lt;"&amp;$I17)&lt;$I$5,COUNTIF($D$6:$D$65,"&gt;="&amp;$I17)&lt;$I$6,(MAX($D$6:$D$65)-$I17)/(MAX($D$6:$D$65)-MIN($D$6:$D$65))&lt;$I$7),"",SUMPRODUCT($B$6:$B$65*(((SUMPRODUCT($B$6:$B$65*$AB$6:$AB$65*EXP(-R$15*((($AA$6:$AA$65-$I17)&gt;0)*($AA$6:$AA$65-$I17))))/SUMPRODUCT($B$6:$B$65*EXP(-R$15*((($AA$6:$AA$65-$I17)&gt;0)*($AA$6:$AA$65-$I17)))*EXP(-R$15*((($AA$6:$AA$65-$I17)&gt;0)*($AA$6:$AA$65-$I17))))))*EXP(-R$15*((($AA$6:$AA$65-$I17)&gt;0)*($AA$6:$AA$65-$I17)))-$AB$6:$AB$65)^2))</f>
        <v/>
      </c>
      <c r="S17" s="18">
        <f>IF(OR(COUNTIF($D$6:$D$65,"&lt;"&amp;$I17)&lt;$I$5,COUNTIF($D$6:$D$65,"&gt;="&amp;$I17)&lt;$I$6,(MAX($D$6:$D$65)-$I17)/(MAX($D$6:$D$65)-MIN($D$6:$D$65))&lt;$I$7),"",SUMPRODUCT($B$6:$B$65*(((SUMPRODUCT($B$6:$B$65*$AB$6:$AB$65*EXP(-S$15*((($AA$6:$AA$65-$I17)&gt;0)*($AA$6:$AA$65-$I17))))/SUMPRODUCT($B$6:$B$65*EXP(-S$15*((($AA$6:$AA$65-$I17)&gt;0)*($AA$6:$AA$65-$I17)))*EXP(-S$15*((($AA$6:$AA$65-$I17)&gt;0)*($AA$6:$AA$65-$I17))))))*EXP(-S$15*((($AA$6:$AA$65-$I17)&gt;0)*($AA$6:$AA$65-$I17)))-$AB$6:$AB$65)^2))</f>
        <v/>
      </c>
      <c r="T17" s="18">
        <f>IF(OR(COUNTIF($D$6:$D$65,"&lt;"&amp;$I17)&lt;$I$5,COUNTIF($D$6:$D$65,"&gt;="&amp;$I17)&lt;$I$6,(MAX($D$6:$D$65)-$I17)/(MAX($D$6:$D$65)-MIN($D$6:$D$65))&lt;$I$7),"",SUMPRODUCT($B$6:$B$65*(((SUMPRODUCT($B$6:$B$65*$AB$6:$AB$65*EXP(-T$15*((($AA$6:$AA$65-$I17)&gt;0)*($AA$6:$AA$65-$I17))))/SUMPRODUCT($B$6:$B$65*EXP(-T$15*((($AA$6:$AA$65-$I17)&gt;0)*($AA$6:$AA$65-$I17)))*EXP(-T$15*((($AA$6:$AA$65-$I17)&gt;0)*($AA$6:$AA$65-$I17))))))*EXP(-T$15*((($AA$6:$AA$65-$I17)&gt;0)*($AA$6:$AA$65-$I17)))-$AB$6:$AB$65)^2))</f>
        <v/>
      </c>
      <c r="U17" s="18">
        <f>IF(OR(COUNTIF($D$6:$D$65,"&lt;"&amp;$I17)&lt;$I$5,COUNTIF($D$6:$D$65,"&gt;="&amp;$I17)&lt;$I$6,(MAX($D$6:$D$65)-$I17)/(MAX($D$6:$D$65)-MIN($D$6:$D$65))&lt;$I$7),"",SUMPRODUCT($B$6:$B$65*(((SUMPRODUCT($B$6:$B$65*$AB$6:$AB$65*EXP(-U$15*((($AA$6:$AA$65-$I17)&gt;0)*($AA$6:$AA$65-$I17))))/SUMPRODUCT($B$6:$B$65*EXP(-U$15*((($AA$6:$AA$65-$I17)&gt;0)*($AA$6:$AA$65-$I17)))*EXP(-U$15*((($AA$6:$AA$65-$I17)&gt;0)*($AA$6:$AA$65-$I17))))))*EXP(-U$15*((($AA$6:$AA$65-$I17)&gt;0)*($AA$6:$AA$65-$I17)))-$AB$6:$AB$65)^2))</f>
        <v/>
      </c>
      <c r="V17" s="18">
        <f>IF(COUNT(J17:U17)=0,"",MIN(J17:U17))</f>
        <v/>
      </c>
      <c r="W17" s="6">
        <f>IF(COUNT(J17:U17)=0,"",MATCH(V17,J17:U17,0))</f>
        <v/>
      </c>
      <c r="AA17" s="12">
        <f>IF(ISNUMBER(D17),D17,0)</f>
        <v/>
      </c>
      <c r="AB17" s="13">
        <f>IF(ISNUMBER(E17),E17,0)</f>
        <v/>
      </c>
    </row>
    <row r="18">
      <c r="A18" s="6" t="n">
        <v>13</v>
      </c>
      <c r="B18" s="32" t="n"/>
      <c r="C18" s="33" t="n"/>
      <c r="D18" s="10">
        <f>IF(AND(F18&gt;0,B18&gt;0),SUM($B$6:B18)/F18,"")</f>
        <v/>
      </c>
      <c r="E18" s="11">
        <f>IF(B18&gt;0,C18/B18,"")</f>
        <v/>
      </c>
      <c r="F18" s="32" t="n"/>
      <c r="I18" s="17">
        <f>MIN($D$6:$D$65)+(MAX($D$6:$D$65)-MIN($D$6:$D$65))*0.2778</f>
        <v/>
      </c>
      <c r="J18" s="18">
        <f>IF(OR(COUNTIF($D$6:$D$65,"&lt;"&amp;$I18)&lt;$I$5,COUNTIF($D$6:$D$65,"&gt;="&amp;$I18)&lt;$I$6,(MAX($D$6:$D$65)-$I18)/(MAX($D$6:$D$65)-MIN($D$6:$D$65))&lt;$I$7),"",SUMPRODUCT($B$6:$B$65*(((SUMPRODUCT($B$6:$B$65*$AB$6:$AB$65*EXP(-J$15*((($AA$6:$AA$65-$I18)&gt;0)*($AA$6:$AA$65-$I18))))/SUMPRODUCT($B$6:$B$65*EXP(-J$15*((($AA$6:$AA$65-$I18)&gt;0)*($AA$6:$AA$65-$I18)))*EXP(-J$15*((($AA$6:$AA$65-$I18)&gt;0)*($AA$6:$AA$65-$I18))))))*EXP(-J$15*((($AA$6:$AA$65-$I18)&gt;0)*($AA$6:$AA$65-$I18)))-$AB$6:$AB$65)^2))</f>
        <v/>
      </c>
      <c r="K18" s="18">
        <f>IF(OR(COUNTIF($D$6:$D$65,"&lt;"&amp;$I18)&lt;$I$5,COUNTIF($D$6:$D$65,"&gt;="&amp;$I18)&lt;$I$6,(MAX($D$6:$D$65)-$I18)/(MAX($D$6:$D$65)-MIN($D$6:$D$65))&lt;$I$7),"",SUMPRODUCT($B$6:$B$65*(((SUMPRODUCT($B$6:$B$65*$AB$6:$AB$65*EXP(-K$15*((($AA$6:$AA$65-$I18)&gt;0)*($AA$6:$AA$65-$I18))))/SUMPRODUCT($B$6:$B$65*EXP(-K$15*((($AA$6:$AA$65-$I18)&gt;0)*($AA$6:$AA$65-$I18)))*EXP(-K$15*((($AA$6:$AA$65-$I18)&gt;0)*($AA$6:$AA$65-$I18))))))*EXP(-K$15*((($AA$6:$AA$65-$I18)&gt;0)*($AA$6:$AA$65-$I18)))-$AB$6:$AB$65)^2))</f>
        <v/>
      </c>
      <c r="L18" s="18">
        <f>IF(OR(COUNTIF($D$6:$D$65,"&lt;"&amp;$I18)&lt;$I$5,COUNTIF($D$6:$D$65,"&gt;="&amp;$I18)&lt;$I$6,(MAX($D$6:$D$65)-$I18)/(MAX($D$6:$D$65)-MIN($D$6:$D$65))&lt;$I$7),"",SUMPRODUCT($B$6:$B$65*(((SUMPRODUCT($B$6:$B$65*$AB$6:$AB$65*EXP(-L$15*((($AA$6:$AA$65-$I18)&gt;0)*($AA$6:$AA$65-$I18))))/SUMPRODUCT($B$6:$B$65*EXP(-L$15*((($AA$6:$AA$65-$I18)&gt;0)*($AA$6:$AA$65-$I18)))*EXP(-L$15*((($AA$6:$AA$65-$I18)&gt;0)*($AA$6:$AA$65-$I18))))))*EXP(-L$15*((($AA$6:$AA$65-$I18)&gt;0)*($AA$6:$AA$65-$I18)))-$AB$6:$AB$65)^2))</f>
        <v/>
      </c>
      <c r="M18" s="18">
        <f>IF(OR(COUNTIF($D$6:$D$65,"&lt;"&amp;$I18)&lt;$I$5,COUNTIF($D$6:$D$65,"&gt;="&amp;$I18)&lt;$I$6,(MAX($D$6:$D$65)-$I18)/(MAX($D$6:$D$65)-MIN($D$6:$D$65))&lt;$I$7),"",SUMPRODUCT($B$6:$B$65*(((SUMPRODUCT($B$6:$B$65*$AB$6:$AB$65*EXP(-M$15*((($AA$6:$AA$65-$I18)&gt;0)*($AA$6:$AA$65-$I18))))/SUMPRODUCT($B$6:$B$65*EXP(-M$15*((($AA$6:$AA$65-$I18)&gt;0)*($AA$6:$AA$65-$I18)))*EXP(-M$15*((($AA$6:$AA$65-$I18)&gt;0)*($AA$6:$AA$65-$I18))))))*EXP(-M$15*((($AA$6:$AA$65-$I18)&gt;0)*($AA$6:$AA$65-$I18)))-$AB$6:$AB$65)^2))</f>
        <v/>
      </c>
      <c r="N18" s="18">
        <f>IF(OR(COUNTIF($D$6:$D$65,"&lt;"&amp;$I18)&lt;$I$5,COUNTIF($D$6:$D$65,"&gt;="&amp;$I18)&lt;$I$6,(MAX($D$6:$D$65)-$I18)/(MAX($D$6:$D$65)-MIN($D$6:$D$65))&lt;$I$7),"",SUMPRODUCT($B$6:$B$65*(((SUMPRODUCT($B$6:$B$65*$AB$6:$AB$65*EXP(-N$15*((($AA$6:$AA$65-$I18)&gt;0)*($AA$6:$AA$65-$I18))))/SUMPRODUCT($B$6:$B$65*EXP(-N$15*((($AA$6:$AA$65-$I18)&gt;0)*($AA$6:$AA$65-$I18)))*EXP(-N$15*((($AA$6:$AA$65-$I18)&gt;0)*($AA$6:$AA$65-$I18))))))*EXP(-N$15*((($AA$6:$AA$65-$I18)&gt;0)*($AA$6:$AA$65-$I18)))-$AB$6:$AB$65)^2))</f>
        <v/>
      </c>
      <c r="O18" s="18">
        <f>IF(OR(COUNTIF($D$6:$D$65,"&lt;"&amp;$I18)&lt;$I$5,COUNTIF($D$6:$D$65,"&gt;="&amp;$I18)&lt;$I$6,(MAX($D$6:$D$65)-$I18)/(MAX($D$6:$D$65)-MIN($D$6:$D$65))&lt;$I$7),"",SUMPRODUCT($B$6:$B$65*(((SUMPRODUCT($B$6:$B$65*$AB$6:$AB$65*EXP(-O$15*((($AA$6:$AA$65-$I18)&gt;0)*($AA$6:$AA$65-$I18))))/SUMPRODUCT($B$6:$B$65*EXP(-O$15*((($AA$6:$AA$65-$I18)&gt;0)*($AA$6:$AA$65-$I18)))*EXP(-O$15*((($AA$6:$AA$65-$I18)&gt;0)*($AA$6:$AA$65-$I18))))))*EXP(-O$15*((($AA$6:$AA$65-$I18)&gt;0)*($AA$6:$AA$65-$I18)))-$AB$6:$AB$65)^2))</f>
        <v/>
      </c>
      <c r="P18" s="18">
        <f>IF(OR(COUNTIF($D$6:$D$65,"&lt;"&amp;$I18)&lt;$I$5,COUNTIF($D$6:$D$65,"&gt;="&amp;$I18)&lt;$I$6,(MAX($D$6:$D$65)-$I18)/(MAX($D$6:$D$65)-MIN($D$6:$D$65))&lt;$I$7),"",SUMPRODUCT($B$6:$B$65*(((SUMPRODUCT($B$6:$B$65*$AB$6:$AB$65*EXP(-P$15*((($AA$6:$AA$65-$I18)&gt;0)*($AA$6:$AA$65-$I18))))/SUMPRODUCT($B$6:$B$65*EXP(-P$15*((($AA$6:$AA$65-$I18)&gt;0)*($AA$6:$AA$65-$I18)))*EXP(-P$15*((($AA$6:$AA$65-$I18)&gt;0)*($AA$6:$AA$65-$I18))))))*EXP(-P$15*((($AA$6:$AA$65-$I18)&gt;0)*($AA$6:$AA$65-$I18)))-$AB$6:$AB$65)^2))</f>
        <v/>
      </c>
      <c r="Q18" s="18">
        <f>IF(OR(COUNTIF($D$6:$D$65,"&lt;"&amp;$I18)&lt;$I$5,COUNTIF($D$6:$D$65,"&gt;="&amp;$I18)&lt;$I$6,(MAX($D$6:$D$65)-$I18)/(MAX($D$6:$D$65)-MIN($D$6:$D$65))&lt;$I$7),"",SUMPRODUCT($B$6:$B$65*(((SUMPRODUCT($B$6:$B$65*$AB$6:$AB$65*EXP(-Q$15*((($AA$6:$AA$65-$I18)&gt;0)*($AA$6:$AA$65-$I18))))/SUMPRODUCT($B$6:$B$65*EXP(-Q$15*((($AA$6:$AA$65-$I18)&gt;0)*($AA$6:$AA$65-$I18)))*EXP(-Q$15*((($AA$6:$AA$65-$I18)&gt;0)*($AA$6:$AA$65-$I18))))))*EXP(-Q$15*((($AA$6:$AA$65-$I18)&gt;0)*($AA$6:$AA$65-$I18)))-$AB$6:$AB$65)^2))</f>
        <v/>
      </c>
      <c r="R18" s="18">
        <f>IF(OR(COUNTIF($D$6:$D$65,"&lt;"&amp;$I18)&lt;$I$5,COUNTIF($D$6:$D$65,"&gt;="&amp;$I18)&lt;$I$6,(MAX($D$6:$D$65)-$I18)/(MAX($D$6:$D$65)-MIN($D$6:$D$65))&lt;$I$7),"",SUMPRODUCT($B$6:$B$65*(((SUMPRODUCT($B$6:$B$65*$AB$6:$AB$65*EXP(-R$15*((($AA$6:$AA$65-$I18)&gt;0)*($AA$6:$AA$65-$I18))))/SUMPRODUCT($B$6:$B$65*EXP(-R$15*((($AA$6:$AA$65-$I18)&gt;0)*($AA$6:$AA$65-$I18)))*EXP(-R$15*((($AA$6:$AA$65-$I18)&gt;0)*($AA$6:$AA$65-$I18))))))*EXP(-R$15*((($AA$6:$AA$65-$I18)&gt;0)*($AA$6:$AA$65-$I18)))-$AB$6:$AB$65)^2))</f>
        <v/>
      </c>
      <c r="S18" s="18">
        <f>IF(OR(COUNTIF($D$6:$D$65,"&lt;"&amp;$I18)&lt;$I$5,COUNTIF($D$6:$D$65,"&gt;="&amp;$I18)&lt;$I$6,(MAX($D$6:$D$65)-$I18)/(MAX($D$6:$D$65)-MIN($D$6:$D$65))&lt;$I$7),"",SUMPRODUCT($B$6:$B$65*(((SUMPRODUCT($B$6:$B$65*$AB$6:$AB$65*EXP(-S$15*((($AA$6:$AA$65-$I18)&gt;0)*($AA$6:$AA$65-$I18))))/SUMPRODUCT($B$6:$B$65*EXP(-S$15*((($AA$6:$AA$65-$I18)&gt;0)*($AA$6:$AA$65-$I18)))*EXP(-S$15*((($AA$6:$AA$65-$I18)&gt;0)*($AA$6:$AA$65-$I18))))))*EXP(-S$15*((($AA$6:$AA$65-$I18)&gt;0)*($AA$6:$AA$65-$I18)))-$AB$6:$AB$65)^2))</f>
        <v/>
      </c>
      <c r="T18" s="18">
        <f>IF(OR(COUNTIF($D$6:$D$65,"&lt;"&amp;$I18)&lt;$I$5,COUNTIF($D$6:$D$65,"&gt;="&amp;$I18)&lt;$I$6,(MAX($D$6:$D$65)-$I18)/(MAX($D$6:$D$65)-MIN($D$6:$D$65))&lt;$I$7),"",SUMPRODUCT($B$6:$B$65*(((SUMPRODUCT($B$6:$B$65*$AB$6:$AB$65*EXP(-T$15*((($AA$6:$AA$65-$I18)&gt;0)*($AA$6:$AA$65-$I18))))/SUMPRODUCT($B$6:$B$65*EXP(-T$15*((($AA$6:$AA$65-$I18)&gt;0)*($AA$6:$AA$65-$I18)))*EXP(-T$15*((($AA$6:$AA$65-$I18)&gt;0)*($AA$6:$AA$65-$I18))))))*EXP(-T$15*((($AA$6:$AA$65-$I18)&gt;0)*($AA$6:$AA$65-$I18)))-$AB$6:$AB$65)^2))</f>
        <v/>
      </c>
      <c r="U18" s="18">
        <f>IF(OR(COUNTIF($D$6:$D$65,"&lt;"&amp;$I18)&lt;$I$5,COUNTIF($D$6:$D$65,"&gt;="&amp;$I18)&lt;$I$6,(MAX($D$6:$D$65)-$I18)/(MAX($D$6:$D$65)-MIN($D$6:$D$65))&lt;$I$7),"",SUMPRODUCT($B$6:$B$65*(((SUMPRODUCT($B$6:$B$65*$AB$6:$AB$65*EXP(-U$15*((($AA$6:$AA$65-$I18)&gt;0)*($AA$6:$AA$65-$I18))))/SUMPRODUCT($B$6:$B$65*EXP(-U$15*((($AA$6:$AA$65-$I18)&gt;0)*($AA$6:$AA$65-$I18)))*EXP(-U$15*((($AA$6:$AA$65-$I18)&gt;0)*($AA$6:$AA$65-$I18))))))*EXP(-U$15*((($AA$6:$AA$65-$I18)&gt;0)*($AA$6:$AA$65-$I18)))-$AB$6:$AB$65)^2))</f>
        <v/>
      </c>
      <c r="V18" s="18">
        <f>IF(COUNT(J18:U18)=0,"",MIN(J18:U18))</f>
        <v/>
      </c>
      <c r="W18" s="6">
        <f>IF(COUNT(J18:U18)=0,"",MATCH(V18,J18:U18,0))</f>
        <v/>
      </c>
      <c r="AA18" s="12">
        <f>IF(ISNUMBER(D18),D18,0)</f>
        <v/>
      </c>
      <c r="AB18" s="13">
        <f>IF(ISNUMBER(E18),E18,0)</f>
        <v/>
      </c>
    </row>
    <row r="19">
      <c r="A19" s="6" t="n">
        <v>14</v>
      </c>
      <c r="B19" s="32" t="n"/>
      <c r="C19" s="33" t="n"/>
      <c r="D19" s="10">
        <f>IF(AND(F19&gt;0,B19&gt;0),SUM($B$6:B19)/F19,"")</f>
        <v/>
      </c>
      <c r="E19" s="11">
        <f>IF(B19&gt;0,C19/B19,"")</f>
        <v/>
      </c>
      <c r="F19" s="32" t="n"/>
      <c r="I19" s="17">
        <f>MIN($D$6:$D$65)+(MAX($D$6:$D$65)-MIN($D$6:$D$65))*0.3667</f>
        <v/>
      </c>
      <c r="J19" s="18">
        <f>IF(OR(COUNTIF($D$6:$D$65,"&lt;"&amp;$I19)&lt;$I$5,COUNTIF($D$6:$D$65,"&gt;="&amp;$I19)&lt;$I$6,(MAX($D$6:$D$65)-$I19)/(MAX($D$6:$D$65)-MIN($D$6:$D$65))&lt;$I$7),"",SUMPRODUCT($B$6:$B$65*(((SUMPRODUCT($B$6:$B$65*$AB$6:$AB$65*EXP(-J$15*((($AA$6:$AA$65-$I19)&gt;0)*($AA$6:$AA$65-$I19))))/SUMPRODUCT($B$6:$B$65*EXP(-J$15*((($AA$6:$AA$65-$I19)&gt;0)*($AA$6:$AA$65-$I19)))*EXP(-J$15*((($AA$6:$AA$65-$I19)&gt;0)*($AA$6:$AA$65-$I19))))))*EXP(-J$15*((($AA$6:$AA$65-$I19)&gt;0)*($AA$6:$AA$65-$I19)))-$AB$6:$AB$65)^2))</f>
        <v/>
      </c>
      <c r="K19" s="18">
        <f>IF(OR(COUNTIF($D$6:$D$65,"&lt;"&amp;$I19)&lt;$I$5,COUNTIF($D$6:$D$65,"&gt;="&amp;$I19)&lt;$I$6,(MAX($D$6:$D$65)-$I19)/(MAX($D$6:$D$65)-MIN($D$6:$D$65))&lt;$I$7),"",SUMPRODUCT($B$6:$B$65*(((SUMPRODUCT($B$6:$B$65*$AB$6:$AB$65*EXP(-K$15*((($AA$6:$AA$65-$I19)&gt;0)*($AA$6:$AA$65-$I19))))/SUMPRODUCT($B$6:$B$65*EXP(-K$15*((($AA$6:$AA$65-$I19)&gt;0)*($AA$6:$AA$65-$I19)))*EXP(-K$15*((($AA$6:$AA$65-$I19)&gt;0)*($AA$6:$AA$65-$I19))))))*EXP(-K$15*((($AA$6:$AA$65-$I19)&gt;0)*($AA$6:$AA$65-$I19)))-$AB$6:$AB$65)^2))</f>
        <v/>
      </c>
      <c r="L19" s="18">
        <f>IF(OR(COUNTIF($D$6:$D$65,"&lt;"&amp;$I19)&lt;$I$5,COUNTIF($D$6:$D$65,"&gt;="&amp;$I19)&lt;$I$6,(MAX($D$6:$D$65)-$I19)/(MAX($D$6:$D$65)-MIN($D$6:$D$65))&lt;$I$7),"",SUMPRODUCT($B$6:$B$65*(((SUMPRODUCT($B$6:$B$65*$AB$6:$AB$65*EXP(-L$15*((($AA$6:$AA$65-$I19)&gt;0)*($AA$6:$AA$65-$I19))))/SUMPRODUCT($B$6:$B$65*EXP(-L$15*((($AA$6:$AA$65-$I19)&gt;0)*($AA$6:$AA$65-$I19)))*EXP(-L$15*((($AA$6:$AA$65-$I19)&gt;0)*($AA$6:$AA$65-$I19))))))*EXP(-L$15*((($AA$6:$AA$65-$I19)&gt;0)*($AA$6:$AA$65-$I19)))-$AB$6:$AB$65)^2))</f>
        <v/>
      </c>
      <c r="M19" s="18">
        <f>IF(OR(COUNTIF($D$6:$D$65,"&lt;"&amp;$I19)&lt;$I$5,COUNTIF($D$6:$D$65,"&gt;="&amp;$I19)&lt;$I$6,(MAX($D$6:$D$65)-$I19)/(MAX($D$6:$D$65)-MIN($D$6:$D$65))&lt;$I$7),"",SUMPRODUCT($B$6:$B$65*(((SUMPRODUCT($B$6:$B$65*$AB$6:$AB$65*EXP(-M$15*((($AA$6:$AA$65-$I19)&gt;0)*($AA$6:$AA$65-$I19))))/SUMPRODUCT($B$6:$B$65*EXP(-M$15*((($AA$6:$AA$65-$I19)&gt;0)*($AA$6:$AA$65-$I19)))*EXP(-M$15*((($AA$6:$AA$65-$I19)&gt;0)*($AA$6:$AA$65-$I19))))))*EXP(-M$15*((($AA$6:$AA$65-$I19)&gt;0)*($AA$6:$AA$65-$I19)))-$AB$6:$AB$65)^2))</f>
        <v/>
      </c>
      <c r="N19" s="18">
        <f>IF(OR(COUNTIF($D$6:$D$65,"&lt;"&amp;$I19)&lt;$I$5,COUNTIF($D$6:$D$65,"&gt;="&amp;$I19)&lt;$I$6,(MAX($D$6:$D$65)-$I19)/(MAX($D$6:$D$65)-MIN($D$6:$D$65))&lt;$I$7),"",SUMPRODUCT($B$6:$B$65*(((SUMPRODUCT($B$6:$B$65*$AB$6:$AB$65*EXP(-N$15*((($AA$6:$AA$65-$I19)&gt;0)*($AA$6:$AA$65-$I19))))/SUMPRODUCT($B$6:$B$65*EXP(-N$15*((($AA$6:$AA$65-$I19)&gt;0)*($AA$6:$AA$65-$I19)))*EXP(-N$15*((($AA$6:$AA$65-$I19)&gt;0)*($AA$6:$AA$65-$I19))))))*EXP(-N$15*((($AA$6:$AA$65-$I19)&gt;0)*($AA$6:$AA$65-$I19)))-$AB$6:$AB$65)^2))</f>
        <v/>
      </c>
      <c r="O19" s="18">
        <f>IF(OR(COUNTIF($D$6:$D$65,"&lt;"&amp;$I19)&lt;$I$5,COUNTIF($D$6:$D$65,"&gt;="&amp;$I19)&lt;$I$6,(MAX($D$6:$D$65)-$I19)/(MAX($D$6:$D$65)-MIN($D$6:$D$65))&lt;$I$7),"",SUMPRODUCT($B$6:$B$65*(((SUMPRODUCT($B$6:$B$65*$AB$6:$AB$65*EXP(-O$15*((($AA$6:$AA$65-$I19)&gt;0)*($AA$6:$AA$65-$I19))))/SUMPRODUCT($B$6:$B$65*EXP(-O$15*((($AA$6:$AA$65-$I19)&gt;0)*($AA$6:$AA$65-$I19)))*EXP(-O$15*((($AA$6:$AA$65-$I19)&gt;0)*($AA$6:$AA$65-$I19))))))*EXP(-O$15*((($AA$6:$AA$65-$I19)&gt;0)*($AA$6:$AA$65-$I19)))-$AB$6:$AB$65)^2))</f>
        <v/>
      </c>
      <c r="P19" s="18">
        <f>IF(OR(COUNTIF($D$6:$D$65,"&lt;"&amp;$I19)&lt;$I$5,COUNTIF($D$6:$D$65,"&gt;="&amp;$I19)&lt;$I$6,(MAX($D$6:$D$65)-$I19)/(MAX($D$6:$D$65)-MIN($D$6:$D$65))&lt;$I$7),"",SUMPRODUCT($B$6:$B$65*(((SUMPRODUCT($B$6:$B$65*$AB$6:$AB$65*EXP(-P$15*((($AA$6:$AA$65-$I19)&gt;0)*($AA$6:$AA$65-$I19))))/SUMPRODUCT($B$6:$B$65*EXP(-P$15*((($AA$6:$AA$65-$I19)&gt;0)*($AA$6:$AA$65-$I19)))*EXP(-P$15*((($AA$6:$AA$65-$I19)&gt;0)*($AA$6:$AA$65-$I19))))))*EXP(-P$15*((($AA$6:$AA$65-$I19)&gt;0)*($AA$6:$AA$65-$I19)))-$AB$6:$AB$65)^2))</f>
        <v/>
      </c>
      <c r="Q19" s="18">
        <f>IF(OR(COUNTIF($D$6:$D$65,"&lt;"&amp;$I19)&lt;$I$5,COUNTIF($D$6:$D$65,"&gt;="&amp;$I19)&lt;$I$6,(MAX($D$6:$D$65)-$I19)/(MAX($D$6:$D$65)-MIN($D$6:$D$65))&lt;$I$7),"",SUMPRODUCT($B$6:$B$65*(((SUMPRODUCT($B$6:$B$65*$AB$6:$AB$65*EXP(-Q$15*((($AA$6:$AA$65-$I19)&gt;0)*($AA$6:$AA$65-$I19))))/SUMPRODUCT($B$6:$B$65*EXP(-Q$15*((($AA$6:$AA$65-$I19)&gt;0)*($AA$6:$AA$65-$I19)))*EXP(-Q$15*((($AA$6:$AA$65-$I19)&gt;0)*($AA$6:$AA$65-$I19))))))*EXP(-Q$15*((($AA$6:$AA$65-$I19)&gt;0)*($AA$6:$AA$65-$I19)))-$AB$6:$AB$65)^2))</f>
        <v/>
      </c>
      <c r="R19" s="18">
        <f>IF(OR(COUNTIF($D$6:$D$65,"&lt;"&amp;$I19)&lt;$I$5,COUNTIF($D$6:$D$65,"&gt;="&amp;$I19)&lt;$I$6,(MAX($D$6:$D$65)-$I19)/(MAX($D$6:$D$65)-MIN($D$6:$D$65))&lt;$I$7),"",SUMPRODUCT($B$6:$B$65*(((SUMPRODUCT($B$6:$B$65*$AB$6:$AB$65*EXP(-R$15*((($AA$6:$AA$65-$I19)&gt;0)*($AA$6:$AA$65-$I19))))/SUMPRODUCT($B$6:$B$65*EXP(-R$15*((($AA$6:$AA$65-$I19)&gt;0)*($AA$6:$AA$65-$I19)))*EXP(-R$15*((($AA$6:$AA$65-$I19)&gt;0)*($AA$6:$AA$65-$I19))))))*EXP(-R$15*((($AA$6:$AA$65-$I19)&gt;0)*($AA$6:$AA$65-$I19)))-$AB$6:$AB$65)^2))</f>
        <v/>
      </c>
      <c r="S19" s="18">
        <f>IF(OR(COUNTIF($D$6:$D$65,"&lt;"&amp;$I19)&lt;$I$5,COUNTIF($D$6:$D$65,"&gt;="&amp;$I19)&lt;$I$6,(MAX($D$6:$D$65)-$I19)/(MAX($D$6:$D$65)-MIN($D$6:$D$65))&lt;$I$7),"",SUMPRODUCT($B$6:$B$65*(((SUMPRODUCT($B$6:$B$65*$AB$6:$AB$65*EXP(-S$15*((($AA$6:$AA$65-$I19)&gt;0)*($AA$6:$AA$65-$I19))))/SUMPRODUCT($B$6:$B$65*EXP(-S$15*((($AA$6:$AA$65-$I19)&gt;0)*($AA$6:$AA$65-$I19)))*EXP(-S$15*((($AA$6:$AA$65-$I19)&gt;0)*($AA$6:$AA$65-$I19))))))*EXP(-S$15*((($AA$6:$AA$65-$I19)&gt;0)*($AA$6:$AA$65-$I19)))-$AB$6:$AB$65)^2))</f>
        <v/>
      </c>
      <c r="T19" s="18">
        <f>IF(OR(COUNTIF($D$6:$D$65,"&lt;"&amp;$I19)&lt;$I$5,COUNTIF($D$6:$D$65,"&gt;="&amp;$I19)&lt;$I$6,(MAX($D$6:$D$65)-$I19)/(MAX($D$6:$D$65)-MIN($D$6:$D$65))&lt;$I$7),"",SUMPRODUCT($B$6:$B$65*(((SUMPRODUCT($B$6:$B$65*$AB$6:$AB$65*EXP(-T$15*((($AA$6:$AA$65-$I19)&gt;0)*($AA$6:$AA$65-$I19))))/SUMPRODUCT($B$6:$B$65*EXP(-T$15*((($AA$6:$AA$65-$I19)&gt;0)*($AA$6:$AA$65-$I19)))*EXP(-T$15*((($AA$6:$AA$65-$I19)&gt;0)*($AA$6:$AA$65-$I19))))))*EXP(-T$15*((($AA$6:$AA$65-$I19)&gt;0)*($AA$6:$AA$65-$I19)))-$AB$6:$AB$65)^2))</f>
        <v/>
      </c>
      <c r="U19" s="18">
        <f>IF(OR(COUNTIF($D$6:$D$65,"&lt;"&amp;$I19)&lt;$I$5,COUNTIF($D$6:$D$65,"&gt;="&amp;$I19)&lt;$I$6,(MAX($D$6:$D$65)-$I19)/(MAX($D$6:$D$65)-MIN($D$6:$D$65))&lt;$I$7),"",SUMPRODUCT($B$6:$B$65*(((SUMPRODUCT($B$6:$B$65*$AB$6:$AB$65*EXP(-U$15*((($AA$6:$AA$65-$I19)&gt;0)*($AA$6:$AA$65-$I19))))/SUMPRODUCT($B$6:$B$65*EXP(-U$15*((($AA$6:$AA$65-$I19)&gt;0)*($AA$6:$AA$65-$I19)))*EXP(-U$15*((($AA$6:$AA$65-$I19)&gt;0)*($AA$6:$AA$65-$I19))))))*EXP(-U$15*((($AA$6:$AA$65-$I19)&gt;0)*($AA$6:$AA$65-$I19)))-$AB$6:$AB$65)^2))</f>
        <v/>
      </c>
      <c r="V19" s="18">
        <f>IF(COUNT(J19:U19)=0,"",MIN(J19:U19))</f>
        <v/>
      </c>
      <c r="W19" s="6">
        <f>IF(COUNT(J19:U19)=0,"",MATCH(V19,J19:U19,0))</f>
        <v/>
      </c>
      <c r="AA19" s="12">
        <f>IF(ISNUMBER(D19),D19,0)</f>
        <v/>
      </c>
      <c r="AB19" s="13">
        <f>IF(ISNUMBER(E19),E19,0)</f>
        <v/>
      </c>
    </row>
    <row r="20">
      <c r="A20" s="6" t="n">
        <v>15</v>
      </c>
      <c r="B20" s="32" t="n"/>
      <c r="C20" s="33" t="n"/>
      <c r="D20" s="10">
        <f>IF(AND(F20&gt;0,B20&gt;0),SUM($B$6:B20)/F20,"")</f>
        <v/>
      </c>
      <c r="E20" s="11">
        <f>IF(B20&gt;0,C20/B20,"")</f>
        <v/>
      </c>
      <c r="F20" s="32" t="n"/>
      <c r="I20" s="17">
        <f>MIN($D$6:$D$65)+(MAX($D$6:$D$65)-MIN($D$6:$D$65))*0.4556</f>
        <v/>
      </c>
      <c r="J20" s="18">
        <f>IF(OR(COUNTIF($D$6:$D$65,"&lt;"&amp;$I20)&lt;$I$5,COUNTIF($D$6:$D$65,"&gt;="&amp;$I20)&lt;$I$6,(MAX($D$6:$D$65)-$I20)/(MAX($D$6:$D$65)-MIN($D$6:$D$65))&lt;$I$7),"",SUMPRODUCT($B$6:$B$65*(((SUMPRODUCT($B$6:$B$65*$AB$6:$AB$65*EXP(-J$15*((($AA$6:$AA$65-$I20)&gt;0)*($AA$6:$AA$65-$I20))))/SUMPRODUCT($B$6:$B$65*EXP(-J$15*((($AA$6:$AA$65-$I20)&gt;0)*($AA$6:$AA$65-$I20)))*EXP(-J$15*((($AA$6:$AA$65-$I20)&gt;0)*($AA$6:$AA$65-$I20))))))*EXP(-J$15*((($AA$6:$AA$65-$I20)&gt;0)*($AA$6:$AA$65-$I20)))-$AB$6:$AB$65)^2))</f>
        <v/>
      </c>
      <c r="K20" s="18">
        <f>IF(OR(COUNTIF($D$6:$D$65,"&lt;"&amp;$I20)&lt;$I$5,COUNTIF($D$6:$D$65,"&gt;="&amp;$I20)&lt;$I$6,(MAX($D$6:$D$65)-$I20)/(MAX($D$6:$D$65)-MIN($D$6:$D$65))&lt;$I$7),"",SUMPRODUCT($B$6:$B$65*(((SUMPRODUCT($B$6:$B$65*$AB$6:$AB$65*EXP(-K$15*((($AA$6:$AA$65-$I20)&gt;0)*($AA$6:$AA$65-$I20))))/SUMPRODUCT($B$6:$B$65*EXP(-K$15*((($AA$6:$AA$65-$I20)&gt;0)*($AA$6:$AA$65-$I20)))*EXP(-K$15*((($AA$6:$AA$65-$I20)&gt;0)*($AA$6:$AA$65-$I20))))))*EXP(-K$15*((($AA$6:$AA$65-$I20)&gt;0)*($AA$6:$AA$65-$I20)))-$AB$6:$AB$65)^2))</f>
        <v/>
      </c>
      <c r="L20" s="18">
        <f>IF(OR(COUNTIF($D$6:$D$65,"&lt;"&amp;$I20)&lt;$I$5,COUNTIF($D$6:$D$65,"&gt;="&amp;$I20)&lt;$I$6,(MAX($D$6:$D$65)-$I20)/(MAX($D$6:$D$65)-MIN($D$6:$D$65))&lt;$I$7),"",SUMPRODUCT($B$6:$B$65*(((SUMPRODUCT($B$6:$B$65*$AB$6:$AB$65*EXP(-L$15*((($AA$6:$AA$65-$I20)&gt;0)*($AA$6:$AA$65-$I20))))/SUMPRODUCT($B$6:$B$65*EXP(-L$15*((($AA$6:$AA$65-$I20)&gt;0)*($AA$6:$AA$65-$I20)))*EXP(-L$15*((($AA$6:$AA$65-$I20)&gt;0)*($AA$6:$AA$65-$I20))))))*EXP(-L$15*((($AA$6:$AA$65-$I20)&gt;0)*($AA$6:$AA$65-$I20)))-$AB$6:$AB$65)^2))</f>
        <v/>
      </c>
      <c r="M20" s="18">
        <f>IF(OR(COUNTIF($D$6:$D$65,"&lt;"&amp;$I20)&lt;$I$5,COUNTIF($D$6:$D$65,"&gt;="&amp;$I20)&lt;$I$6,(MAX($D$6:$D$65)-$I20)/(MAX($D$6:$D$65)-MIN($D$6:$D$65))&lt;$I$7),"",SUMPRODUCT($B$6:$B$65*(((SUMPRODUCT($B$6:$B$65*$AB$6:$AB$65*EXP(-M$15*((($AA$6:$AA$65-$I20)&gt;0)*($AA$6:$AA$65-$I20))))/SUMPRODUCT($B$6:$B$65*EXP(-M$15*((($AA$6:$AA$65-$I20)&gt;0)*($AA$6:$AA$65-$I20)))*EXP(-M$15*((($AA$6:$AA$65-$I20)&gt;0)*($AA$6:$AA$65-$I20))))))*EXP(-M$15*((($AA$6:$AA$65-$I20)&gt;0)*($AA$6:$AA$65-$I20)))-$AB$6:$AB$65)^2))</f>
        <v/>
      </c>
      <c r="N20" s="18">
        <f>IF(OR(COUNTIF($D$6:$D$65,"&lt;"&amp;$I20)&lt;$I$5,COUNTIF($D$6:$D$65,"&gt;="&amp;$I20)&lt;$I$6,(MAX($D$6:$D$65)-$I20)/(MAX($D$6:$D$65)-MIN($D$6:$D$65))&lt;$I$7),"",SUMPRODUCT($B$6:$B$65*(((SUMPRODUCT($B$6:$B$65*$AB$6:$AB$65*EXP(-N$15*((($AA$6:$AA$65-$I20)&gt;0)*($AA$6:$AA$65-$I20))))/SUMPRODUCT($B$6:$B$65*EXP(-N$15*((($AA$6:$AA$65-$I20)&gt;0)*($AA$6:$AA$65-$I20)))*EXP(-N$15*((($AA$6:$AA$65-$I20)&gt;0)*($AA$6:$AA$65-$I20))))))*EXP(-N$15*((($AA$6:$AA$65-$I20)&gt;0)*($AA$6:$AA$65-$I20)))-$AB$6:$AB$65)^2))</f>
        <v/>
      </c>
      <c r="O20" s="18">
        <f>IF(OR(COUNTIF($D$6:$D$65,"&lt;"&amp;$I20)&lt;$I$5,COUNTIF($D$6:$D$65,"&gt;="&amp;$I20)&lt;$I$6,(MAX($D$6:$D$65)-$I20)/(MAX($D$6:$D$65)-MIN($D$6:$D$65))&lt;$I$7),"",SUMPRODUCT($B$6:$B$65*(((SUMPRODUCT($B$6:$B$65*$AB$6:$AB$65*EXP(-O$15*((($AA$6:$AA$65-$I20)&gt;0)*($AA$6:$AA$65-$I20))))/SUMPRODUCT($B$6:$B$65*EXP(-O$15*((($AA$6:$AA$65-$I20)&gt;0)*($AA$6:$AA$65-$I20)))*EXP(-O$15*((($AA$6:$AA$65-$I20)&gt;0)*($AA$6:$AA$65-$I20))))))*EXP(-O$15*((($AA$6:$AA$65-$I20)&gt;0)*($AA$6:$AA$65-$I20)))-$AB$6:$AB$65)^2))</f>
        <v/>
      </c>
      <c r="P20" s="18">
        <f>IF(OR(COUNTIF($D$6:$D$65,"&lt;"&amp;$I20)&lt;$I$5,COUNTIF($D$6:$D$65,"&gt;="&amp;$I20)&lt;$I$6,(MAX($D$6:$D$65)-$I20)/(MAX($D$6:$D$65)-MIN($D$6:$D$65))&lt;$I$7),"",SUMPRODUCT($B$6:$B$65*(((SUMPRODUCT($B$6:$B$65*$AB$6:$AB$65*EXP(-P$15*((($AA$6:$AA$65-$I20)&gt;0)*($AA$6:$AA$65-$I20))))/SUMPRODUCT($B$6:$B$65*EXP(-P$15*((($AA$6:$AA$65-$I20)&gt;0)*($AA$6:$AA$65-$I20)))*EXP(-P$15*((($AA$6:$AA$65-$I20)&gt;0)*($AA$6:$AA$65-$I20))))))*EXP(-P$15*((($AA$6:$AA$65-$I20)&gt;0)*($AA$6:$AA$65-$I20)))-$AB$6:$AB$65)^2))</f>
        <v/>
      </c>
      <c r="Q20" s="18">
        <f>IF(OR(COUNTIF($D$6:$D$65,"&lt;"&amp;$I20)&lt;$I$5,COUNTIF($D$6:$D$65,"&gt;="&amp;$I20)&lt;$I$6,(MAX($D$6:$D$65)-$I20)/(MAX($D$6:$D$65)-MIN($D$6:$D$65))&lt;$I$7),"",SUMPRODUCT($B$6:$B$65*(((SUMPRODUCT($B$6:$B$65*$AB$6:$AB$65*EXP(-Q$15*((($AA$6:$AA$65-$I20)&gt;0)*($AA$6:$AA$65-$I20))))/SUMPRODUCT($B$6:$B$65*EXP(-Q$15*((($AA$6:$AA$65-$I20)&gt;0)*($AA$6:$AA$65-$I20)))*EXP(-Q$15*((($AA$6:$AA$65-$I20)&gt;0)*($AA$6:$AA$65-$I20))))))*EXP(-Q$15*((($AA$6:$AA$65-$I20)&gt;0)*($AA$6:$AA$65-$I20)))-$AB$6:$AB$65)^2))</f>
        <v/>
      </c>
      <c r="R20" s="18">
        <f>IF(OR(COUNTIF($D$6:$D$65,"&lt;"&amp;$I20)&lt;$I$5,COUNTIF($D$6:$D$65,"&gt;="&amp;$I20)&lt;$I$6,(MAX($D$6:$D$65)-$I20)/(MAX($D$6:$D$65)-MIN($D$6:$D$65))&lt;$I$7),"",SUMPRODUCT($B$6:$B$65*(((SUMPRODUCT($B$6:$B$65*$AB$6:$AB$65*EXP(-R$15*((($AA$6:$AA$65-$I20)&gt;0)*($AA$6:$AA$65-$I20))))/SUMPRODUCT($B$6:$B$65*EXP(-R$15*((($AA$6:$AA$65-$I20)&gt;0)*($AA$6:$AA$65-$I20)))*EXP(-R$15*((($AA$6:$AA$65-$I20)&gt;0)*($AA$6:$AA$65-$I20))))))*EXP(-R$15*((($AA$6:$AA$65-$I20)&gt;0)*($AA$6:$AA$65-$I20)))-$AB$6:$AB$65)^2))</f>
        <v/>
      </c>
      <c r="S20" s="18">
        <f>IF(OR(COUNTIF($D$6:$D$65,"&lt;"&amp;$I20)&lt;$I$5,COUNTIF($D$6:$D$65,"&gt;="&amp;$I20)&lt;$I$6,(MAX($D$6:$D$65)-$I20)/(MAX($D$6:$D$65)-MIN($D$6:$D$65))&lt;$I$7),"",SUMPRODUCT($B$6:$B$65*(((SUMPRODUCT($B$6:$B$65*$AB$6:$AB$65*EXP(-S$15*((($AA$6:$AA$65-$I20)&gt;0)*($AA$6:$AA$65-$I20))))/SUMPRODUCT($B$6:$B$65*EXP(-S$15*((($AA$6:$AA$65-$I20)&gt;0)*($AA$6:$AA$65-$I20)))*EXP(-S$15*((($AA$6:$AA$65-$I20)&gt;0)*($AA$6:$AA$65-$I20))))))*EXP(-S$15*((($AA$6:$AA$65-$I20)&gt;0)*($AA$6:$AA$65-$I20)))-$AB$6:$AB$65)^2))</f>
        <v/>
      </c>
      <c r="T20" s="18">
        <f>IF(OR(COUNTIF($D$6:$D$65,"&lt;"&amp;$I20)&lt;$I$5,COUNTIF($D$6:$D$65,"&gt;="&amp;$I20)&lt;$I$6,(MAX($D$6:$D$65)-$I20)/(MAX($D$6:$D$65)-MIN($D$6:$D$65))&lt;$I$7),"",SUMPRODUCT($B$6:$B$65*(((SUMPRODUCT($B$6:$B$65*$AB$6:$AB$65*EXP(-T$15*((($AA$6:$AA$65-$I20)&gt;0)*($AA$6:$AA$65-$I20))))/SUMPRODUCT($B$6:$B$65*EXP(-T$15*((($AA$6:$AA$65-$I20)&gt;0)*($AA$6:$AA$65-$I20)))*EXP(-T$15*((($AA$6:$AA$65-$I20)&gt;0)*($AA$6:$AA$65-$I20))))))*EXP(-T$15*((($AA$6:$AA$65-$I20)&gt;0)*($AA$6:$AA$65-$I20)))-$AB$6:$AB$65)^2))</f>
        <v/>
      </c>
      <c r="U20" s="18">
        <f>IF(OR(COUNTIF($D$6:$D$65,"&lt;"&amp;$I20)&lt;$I$5,COUNTIF($D$6:$D$65,"&gt;="&amp;$I20)&lt;$I$6,(MAX($D$6:$D$65)-$I20)/(MAX($D$6:$D$65)-MIN($D$6:$D$65))&lt;$I$7),"",SUMPRODUCT($B$6:$B$65*(((SUMPRODUCT($B$6:$B$65*$AB$6:$AB$65*EXP(-U$15*((($AA$6:$AA$65-$I20)&gt;0)*($AA$6:$AA$65-$I20))))/SUMPRODUCT($B$6:$B$65*EXP(-U$15*((($AA$6:$AA$65-$I20)&gt;0)*($AA$6:$AA$65-$I20)))*EXP(-U$15*((($AA$6:$AA$65-$I20)&gt;0)*($AA$6:$AA$65-$I20))))))*EXP(-U$15*((($AA$6:$AA$65-$I20)&gt;0)*($AA$6:$AA$65-$I20)))-$AB$6:$AB$65)^2))</f>
        <v/>
      </c>
      <c r="V20" s="18">
        <f>IF(COUNT(J20:U20)=0,"",MIN(J20:U20))</f>
        <v/>
      </c>
      <c r="W20" s="6">
        <f>IF(COUNT(J20:U20)=0,"",MATCH(V20,J20:U20,0))</f>
        <v/>
      </c>
      <c r="AA20" s="12">
        <f>IF(ISNUMBER(D20),D20,0)</f>
        <v/>
      </c>
      <c r="AB20" s="13">
        <f>IF(ISNUMBER(E20),E20,0)</f>
        <v/>
      </c>
    </row>
    <row r="21">
      <c r="A21" s="6" t="n">
        <v>16</v>
      </c>
      <c r="B21" s="32" t="n"/>
      <c r="C21" s="33" t="n"/>
      <c r="D21" s="10">
        <f>IF(AND(F21&gt;0,B21&gt;0),SUM($B$6:B21)/F21,"")</f>
        <v/>
      </c>
      <c r="E21" s="11">
        <f>IF(B21&gt;0,C21/B21,"")</f>
        <v/>
      </c>
      <c r="F21" s="32" t="n"/>
      <c r="I21" s="17">
        <f>MIN($D$6:$D$65)+(MAX($D$6:$D$65)-MIN($D$6:$D$65))*0.5444</f>
        <v/>
      </c>
      <c r="J21" s="18">
        <f>IF(OR(COUNTIF($D$6:$D$65,"&lt;"&amp;$I21)&lt;$I$5,COUNTIF($D$6:$D$65,"&gt;="&amp;$I21)&lt;$I$6,(MAX($D$6:$D$65)-$I21)/(MAX($D$6:$D$65)-MIN($D$6:$D$65))&lt;$I$7),"",SUMPRODUCT($B$6:$B$65*(((SUMPRODUCT($B$6:$B$65*$AB$6:$AB$65*EXP(-J$15*((($AA$6:$AA$65-$I21)&gt;0)*($AA$6:$AA$65-$I21))))/SUMPRODUCT($B$6:$B$65*EXP(-J$15*((($AA$6:$AA$65-$I21)&gt;0)*($AA$6:$AA$65-$I21)))*EXP(-J$15*((($AA$6:$AA$65-$I21)&gt;0)*($AA$6:$AA$65-$I21))))))*EXP(-J$15*((($AA$6:$AA$65-$I21)&gt;0)*($AA$6:$AA$65-$I21)))-$AB$6:$AB$65)^2))</f>
        <v/>
      </c>
      <c r="K21" s="18">
        <f>IF(OR(COUNTIF($D$6:$D$65,"&lt;"&amp;$I21)&lt;$I$5,COUNTIF($D$6:$D$65,"&gt;="&amp;$I21)&lt;$I$6,(MAX($D$6:$D$65)-$I21)/(MAX($D$6:$D$65)-MIN($D$6:$D$65))&lt;$I$7),"",SUMPRODUCT($B$6:$B$65*(((SUMPRODUCT($B$6:$B$65*$AB$6:$AB$65*EXP(-K$15*((($AA$6:$AA$65-$I21)&gt;0)*($AA$6:$AA$65-$I21))))/SUMPRODUCT($B$6:$B$65*EXP(-K$15*((($AA$6:$AA$65-$I21)&gt;0)*($AA$6:$AA$65-$I21)))*EXP(-K$15*((($AA$6:$AA$65-$I21)&gt;0)*($AA$6:$AA$65-$I21))))))*EXP(-K$15*((($AA$6:$AA$65-$I21)&gt;0)*($AA$6:$AA$65-$I21)))-$AB$6:$AB$65)^2))</f>
        <v/>
      </c>
      <c r="L21" s="18">
        <f>IF(OR(COUNTIF($D$6:$D$65,"&lt;"&amp;$I21)&lt;$I$5,COUNTIF($D$6:$D$65,"&gt;="&amp;$I21)&lt;$I$6,(MAX($D$6:$D$65)-$I21)/(MAX($D$6:$D$65)-MIN($D$6:$D$65))&lt;$I$7),"",SUMPRODUCT($B$6:$B$65*(((SUMPRODUCT($B$6:$B$65*$AB$6:$AB$65*EXP(-L$15*((($AA$6:$AA$65-$I21)&gt;0)*($AA$6:$AA$65-$I21))))/SUMPRODUCT($B$6:$B$65*EXP(-L$15*((($AA$6:$AA$65-$I21)&gt;0)*($AA$6:$AA$65-$I21)))*EXP(-L$15*((($AA$6:$AA$65-$I21)&gt;0)*($AA$6:$AA$65-$I21))))))*EXP(-L$15*((($AA$6:$AA$65-$I21)&gt;0)*($AA$6:$AA$65-$I21)))-$AB$6:$AB$65)^2))</f>
        <v/>
      </c>
      <c r="M21" s="18">
        <f>IF(OR(COUNTIF($D$6:$D$65,"&lt;"&amp;$I21)&lt;$I$5,COUNTIF($D$6:$D$65,"&gt;="&amp;$I21)&lt;$I$6,(MAX($D$6:$D$65)-$I21)/(MAX($D$6:$D$65)-MIN($D$6:$D$65))&lt;$I$7),"",SUMPRODUCT($B$6:$B$65*(((SUMPRODUCT($B$6:$B$65*$AB$6:$AB$65*EXP(-M$15*((($AA$6:$AA$65-$I21)&gt;0)*($AA$6:$AA$65-$I21))))/SUMPRODUCT($B$6:$B$65*EXP(-M$15*((($AA$6:$AA$65-$I21)&gt;0)*($AA$6:$AA$65-$I21)))*EXP(-M$15*((($AA$6:$AA$65-$I21)&gt;0)*($AA$6:$AA$65-$I21))))))*EXP(-M$15*((($AA$6:$AA$65-$I21)&gt;0)*($AA$6:$AA$65-$I21)))-$AB$6:$AB$65)^2))</f>
        <v/>
      </c>
      <c r="N21" s="18">
        <f>IF(OR(COUNTIF($D$6:$D$65,"&lt;"&amp;$I21)&lt;$I$5,COUNTIF($D$6:$D$65,"&gt;="&amp;$I21)&lt;$I$6,(MAX($D$6:$D$65)-$I21)/(MAX($D$6:$D$65)-MIN($D$6:$D$65))&lt;$I$7),"",SUMPRODUCT($B$6:$B$65*(((SUMPRODUCT($B$6:$B$65*$AB$6:$AB$65*EXP(-N$15*((($AA$6:$AA$65-$I21)&gt;0)*($AA$6:$AA$65-$I21))))/SUMPRODUCT($B$6:$B$65*EXP(-N$15*((($AA$6:$AA$65-$I21)&gt;0)*($AA$6:$AA$65-$I21)))*EXP(-N$15*((($AA$6:$AA$65-$I21)&gt;0)*($AA$6:$AA$65-$I21))))))*EXP(-N$15*((($AA$6:$AA$65-$I21)&gt;0)*($AA$6:$AA$65-$I21)))-$AB$6:$AB$65)^2))</f>
        <v/>
      </c>
      <c r="O21" s="18">
        <f>IF(OR(COUNTIF($D$6:$D$65,"&lt;"&amp;$I21)&lt;$I$5,COUNTIF($D$6:$D$65,"&gt;="&amp;$I21)&lt;$I$6,(MAX($D$6:$D$65)-$I21)/(MAX($D$6:$D$65)-MIN($D$6:$D$65))&lt;$I$7),"",SUMPRODUCT($B$6:$B$65*(((SUMPRODUCT($B$6:$B$65*$AB$6:$AB$65*EXP(-O$15*((($AA$6:$AA$65-$I21)&gt;0)*($AA$6:$AA$65-$I21))))/SUMPRODUCT($B$6:$B$65*EXP(-O$15*((($AA$6:$AA$65-$I21)&gt;0)*($AA$6:$AA$65-$I21)))*EXP(-O$15*((($AA$6:$AA$65-$I21)&gt;0)*($AA$6:$AA$65-$I21))))))*EXP(-O$15*((($AA$6:$AA$65-$I21)&gt;0)*($AA$6:$AA$65-$I21)))-$AB$6:$AB$65)^2))</f>
        <v/>
      </c>
      <c r="P21" s="18">
        <f>IF(OR(COUNTIF($D$6:$D$65,"&lt;"&amp;$I21)&lt;$I$5,COUNTIF($D$6:$D$65,"&gt;="&amp;$I21)&lt;$I$6,(MAX($D$6:$D$65)-$I21)/(MAX($D$6:$D$65)-MIN($D$6:$D$65))&lt;$I$7),"",SUMPRODUCT($B$6:$B$65*(((SUMPRODUCT($B$6:$B$65*$AB$6:$AB$65*EXP(-P$15*((($AA$6:$AA$65-$I21)&gt;0)*($AA$6:$AA$65-$I21))))/SUMPRODUCT($B$6:$B$65*EXP(-P$15*((($AA$6:$AA$65-$I21)&gt;0)*($AA$6:$AA$65-$I21)))*EXP(-P$15*((($AA$6:$AA$65-$I21)&gt;0)*($AA$6:$AA$65-$I21))))))*EXP(-P$15*((($AA$6:$AA$65-$I21)&gt;0)*($AA$6:$AA$65-$I21)))-$AB$6:$AB$65)^2))</f>
        <v/>
      </c>
      <c r="Q21" s="18">
        <f>IF(OR(COUNTIF($D$6:$D$65,"&lt;"&amp;$I21)&lt;$I$5,COUNTIF($D$6:$D$65,"&gt;="&amp;$I21)&lt;$I$6,(MAX($D$6:$D$65)-$I21)/(MAX($D$6:$D$65)-MIN($D$6:$D$65))&lt;$I$7),"",SUMPRODUCT($B$6:$B$65*(((SUMPRODUCT($B$6:$B$65*$AB$6:$AB$65*EXP(-Q$15*((($AA$6:$AA$65-$I21)&gt;0)*($AA$6:$AA$65-$I21))))/SUMPRODUCT($B$6:$B$65*EXP(-Q$15*((($AA$6:$AA$65-$I21)&gt;0)*($AA$6:$AA$65-$I21)))*EXP(-Q$15*((($AA$6:$AA$65-$I21)&gt;0)*($AA$6:$AA$65-$I21))))))*EXP(-Q$15*((($AA$6:$AA$65-$I21)&gt;0)*($AA$6:$AA$65-$I21)))-$AB$6:$AB$65)^2))</f>
        <v/>
      </c>
      <c r="R21" s="18">
        <f>IF(OR(COUNTIF($D$6:$D$65,"&lt;"&amp;$I21)&lt;$I$5,COUNTIF($D$6:$D$65,"&gt;="&amp;$I21)&lt;$I$6,(MAX($D$6:$D$65)-$I21)/(MAX($D$6:$D$65)-MIN($D$6:$D$65))&lt;$I$7),"",SUMPRODUCT($B$6:$B$65*(((SUMPRODUCT($B$6:$B$65*$AB$6:$AB$65*EXP(-R$15*((($AA$6:$AA$65-$I21)&gt;0)*($AA$6:$AA$65-$I21))))/SUMPRODUCT($B$6:$B$65*EXP(-R$15*((($AA$6:$AA$65-$I21)&gt;0)*($AA$6:$AA$65-$I21)))*EXP(-R$15*((($AA$6:$AA$65-$I21)&gt;0)*($AA$6:$AA$65-$I21))))))*EXP(-R$15*((($AA$6:$AA$65-$I21)&gt;0)*($AA$6:$AA$65-$I21)))-$AB$6:$AB$65)^2))</f>
        <v/>
      </c>
      <c r="S21" s="18">
        <f>IF(OR(COUNTIF($D$6:$D$65,"&lt;"&amp;$I21)&lt;$I$5,COUNTIF($D$6:$D$65,"&gt;="&amp;$I21)&lt;$I$6,(MAX($D$6:$D$65)-$I21)/(MAX($D$6:$D$65)-MIN($D$6:$D$65))&lt;$I$7),"",SUMPRODUCT($B$6:$B$65*(((SUMPRODUCT($B$6:$B$65*$AB$6:$AB$65*EXP(-S$15*((($AA$6:$AA$65-$I21)&gt;0)*($AA$6:$AA$65-$I21))))/SUMPRODUCT($B$6:$B$65*EXP(-S$15*((($AA$6:$AA$65-$I21)&gt;0)*($AA$6:$AA$65-$I21)))*EXP(-S$15*((($AA$6:$AA$65-$I21)&gt;0)*($AA$6:$AA$65-$I21))))))*EXP(-S$15*((($AA$6:$AA$65-$I21)&gt;0)*($AA$6:$AA$65-$I21)))-$AB$6:$AB$65)^2))</f>
        <v/>
      </c>
      <c r="T21" s="18">
        <f>IF(OR(COUNTIF($D$6:$D$65,"&lt;"&amp;$I21)&lt;$I$5,COUNTIF($D$6:$D$65,"&gt;="&amp;$I21)&lt;$I$6,(MAX($D$6:$D$65)-$I21)/(MAX($D$6:$D$65)-MIN($D$6:$D$65))&lt;$I$7),"",SUMPRODUCT($B$6:$B$65*(((SUMPRODUCT($B$6:$B$65*$AB$6:$AB$65*EXP(-T$15*((($AA$6:$AA$65-$I21)&gt;0)*($AA$6:$AA$65-$I21))))/SUMPRODUCT($B$6:$B$65*EXP(-T$15*((($AA$6:$AA$65-$I21)&gt;0)*($AA$6:$AA$65-$I21)))*EXP(-T$15*((($AA$6:$AA$65-$I21)&gt;0)*($AA$6:$AA$65-$I21))))))*EXP(-T$15*((($AA$6:$AA$65-$I21)&gt;0)*($AA$6:$AA$65-$I21)))-$AB$6:$AB$65)^2))</f>
        <v/>
      </c>
      <c r="U21" s="18">
        <f>IF(OR(COUNTIF($D$6:$D$65,"&lt;"&amp;$I21)&lt;$I$5,COUNTIF($D$6:$D$65,"&gt;="&amp;$I21)&lt;$I$6,(MAX($D$6:$D$65)-$I21)/(MAX($D$6:$D$65)-MIN($D$6:$D$65))&lt;$I$7),"",SUMPRODUCT($B$6:$B$65*(((SUMPRODUCT($B$6:$B$65*$AB$6:$AB$65*EXP(-U$15*((($AA$6:$AA$65-$I21)&gt;0)*($AA$6:$AA$65-$I21))))/SUMPRODUCT($B$6:$B$65*EXP(-U$15*((($AA$6:$AA$65-$I21)&gt;0)*($AA$6:$AA$65-$I21)))*EXP(-U$15*((($AA$6:$AA$65-$I21)&gt;0)*($AA$6:$AA$65-$I21))))))*EXP(-U$15*((($AA$6:$AA$65-$I21)&gt;0)*($AA$6:$AA$65-$I21)))-$AB$6:$AB$65)^2))</f>
        <v/>
      </c>
      <c r="V21" s="18">
        <f>IF(COUNT(J21:U21)=0,"",MIN(J21:U21))</f>
        <v/>
      </c>
      <c r="W21" s="6">
        <f>IF(COUNT(J21:U21)=0,"",MATCH(V21,J21:U21,0))</f>
        <v/>
      </c>
      <c r="AA21" s="12">
        <f>IF(ISNUMBER(D21),D21,0)</f>
        <v/>
      </c>
      <c r="AB21" s="13">
        <f>IF(ISNUMBER(E21),E21,0)</f>
        <v/>
      </c>
    </row>
    <row r="22">
      <c r="A22" s="6" t="n">
        <v>17</v>
      </c>
      <c r="B22" s="32" t="n"/>
      <c r="C22" s="33" t="n"/>
      <c r="D22" s="10">
        <f>IF(AND(F22&gt;0,B22&gt;0),SUM($B$6:B22)/F22,"")</f>
        <v/>
      </c>
      <c r="E22" s="11">
        <f>IF(B22&gt;0,C22/B22,"")</f>
        <v/>
      </c>
      <c r="F22" s="32" t="n"/>
      <c r="I22" s="17">
        <f>MIN($D$6:$D$65)+(MAX($D$6:$D$65)-MIN($D$6:$D$65))*0.6333</f>
        <v/>
      </c>
      <c r="J22" s="18">
        <f>IF(OR(COUNTIF($D$6:$D$65,"&lt;"&amp;$I22)&lt;$I$5,COUNTIF($D$6:$D$65,"&gt;="&amp;$I22)&lt;$I$6,(MAX($D$6:$D$65)-$I22)/(MAX($D$6:$D$65)-MIN($D$6:$D$65))&lt;$I$7),"",SUMPRODUCT($B$6:$B$65*(((SUMPRODUCT($B$6:$B$65*$AB$6:$AB$65*EXP(-J$15*((($AA$6:$AA$65-$I22)&gt;0)*($AA$6:$AA$65-$I22))))/SUMPRODUCT($B$6:$B$65*EXP(-J$15*((($AA$6:$AA$65-$I22)&gt;0)*($AA$6:$AA$65-$I22)))*EXP(-J$15*((($AA$6:$AA$65-$I22)&gt;0)*($AA$6:$AA$65-$I22))))))*EXP(-J$15*((($AA$6:$AA$65-$I22)&gt;0)*($AA$6:$AA$65-$I22)))-$AB$6:$AB$65)^2))</f>
        <v/>
      </c>
      <c r="K22" s="18">
        <f>IF(OR(COUNTIF($D$6:$D$65,"&lt;"&amp;$I22)&lt;$I$5,COUNTIF($D$6:$D$65,"&gt;="&amp;$I22)&lt;$I$6,(MAX($D$6:$D$65)-$I22)/(MAX($D$6:$D$65)-MIN($D$6:$D$65))&lt;$I$7),"",SUMPRODUCT($B$6:$B$65*(((SUMPRODUCT($B$6:$B$65*$AB$6:$AB$65*EXP(-K$15*((($AA$6:$AA$65-$I22)&gt;0)*($AA$6:$AA$65-$I22))))/SUMPRODUCT($B$6:$B$65*EXP(-K$15*((($AA$6:$AA$65-$I22)&gt;0)*($AA$6:$AA$65-$I22)))*EXP(-K$15*((($AA$6:$AA$65-$I22)&gt;0)*($AA$6:$AA$65-$I22))))))*EXP(-K$15*((($AA$6:$AA$65-$I22)&gt;0)*($AA$6:$AA$65-$I22)))-$AB$6:$AB$65)^2))</f>
        <v/>
      </c>
      <c r="L22" s="18">
        <f>IF(OR(COUNTIF($D$6:$D$65,"&lt;"&amp;$I22)&lt;$I$5,COUNTIF($D$6:$D$65,"&gt;="&amp;$I22)&lt;$I$6,(MAX($D$6:$D$65)-$I22)/(MAX($D$6:$D$65)-MIN($D$6:$D$65))&lt;$I$7),"",SUMPRODUCT($B$6:$B$65*(((SUMPRODUCT($B$6:$B$65*$AB$6:$AB$65*EXP(-L$15*((($AA$6:$AA$65-$I22)&gt;0)*($AA$6:$AA$65-$I22))))/SUMPRODUCT($B$6:$B$65*EXP(-L$15*((($AA$6:$AA$65-$I22)&gt;0)*($AA$6:$AA$65-$I22)))*EXP(-L$15*((($AA$6:$AA$65-$I22)&gt;0)*($AA$6:$AA$65-$I22))))))*EXP(-L$15*((($AA$6:$AA$65-$I22)&gt;0)*($AA$6:$AA$65-$I22)))-$AB$6:$AB$65)^2))</f>
        <v/>
      </c>
      <c r="M22" s="18">
        <f>IF(OR(COUNTIF($D$6:$D$65,"&lt;"&amp;$I22)&lt;$I$5,COUNTIF($D$6:$D$65,"&gt;="&amp;$I22)&lt;$I$6,(MAX($D$6:$D$65)-$I22)/(MAX($D$6:$D$65)-MIN($D$6:$D$65))&lt;$I$7),"",SUMPRODUCT($B$6:$B$65*(((SUMPRODUCT($B$6:$B$65*$AB$6:$AB$65*EXP(-M$15*((($AA$6:$AA$65-$I22)&gt;0)*($AA$6:$AA$65-$I22))))/SUMPRODUCT($B$6:$B$65*EXP(-M$15*((($AA$6:$AA$65-$I22)&gt;0)*($AA$6:$AA$65-$I22)))*EXP(-M$15*((($AA$6:$AA$65-$I22)&gt;0)*($AA$6:$AA$65-$I22))))))*EXP(-M$15*((($AA$6:$AA$65-$I22)&gt;0)*($AA$6:$AA$65-$I22)))-$AB$6:$AB$65)^2))</f>
        <v/>
      </c>
      <c r="N22" s="18">
        <f>IF(OR(COUNTIF($D$6:$D$65,"&lt;"&amp;$I22)&lt;$I$5,COUNTIF($D$6:$D$65,"&gt;="&amp;$I22)&lt;$I$6,(MAX($D$6:$D$65)-$I22)/(MAX($D$6:$D$65)-MIN($D$6:$D$65))&lt;$I$7),"",SUMPRODUCT($B$6:$B$65*(((SUMPRODUCT($B$6:$B$65*$AB$6:$AB$65*EXP(-N$15*((($AA$6:$AA$65-$I22)&gt;0)*($AA$6:$AA$65-$I22))))/SUMPRODUCT($B$6:$B$65*EXP(-N$15*((($AA$6:$AA$65-$I22)&gt;0)*($AA$6:$AA$65-$I22)))*EXP(-N$15*((($AA$6:$AA$65-$I22)&gt;0)*($AA$6:$AA$65-$I22))))))*EXP(-N$15*((($AA$6:$AA$65-$I22)&gt;0)*($AA$6:$AA$65-$I22)))-$AB$6:$AB$65)^2))</f>
        <v/>
      </c>
      <c r="O22" s="18">
        <f>IF(OR(COUNTIF($D$6:$D$65,"&lt;"&amp;$I22)&lt;$I$5,COUNTIF($D$6:$D$65,"&gt;="&amp;$I22)&lt;$I$6,(MAX($D$6:$D$65)-$I22)/(MAX($D$6:$D$65)-MIN($D$6:$D$65))&lt;$I$7),"",SUMPRODUCT($B$6:$B$65*(((SUMPRODUCT($B$6:$B$65*$AB$6:$AB$65*EXP(-O$15*((($AA$6:$AA$65-$I22)&gt;0)*($AA$6:$AA$65-$I22))))/SUMPRODUCT($B$6:$B$65*EXP(-O$15*((($AA$6:$AA$65-$I22)&gt;0)*($AA$6:$AA$65-$I22)))*EXP(-O$15*((($AA$6:$AA$65-$I22)&gt;0)*($AA$6:$AA$65-$I22))))))*EXP(-O$15*((($AA$6:$AA$65-$I22)&gt;0)*($AA$6:$AA$65-$I22)))-$AB$6:$AB$65)^2))</f>
        <v/>
      </c>
      <c r="P22" s="18">
        <f>IF(OR(COUNTIF($D$6:$D$65,"&lt;"&amp;$I22)&lt;$I$5,COUNTIF($D$6:$D$65,"&gt;="&amp;$I22)&lt;$I$6,(MAX($D$6:$D$65)-$I22)/(MAX($D$6:$D$65)-MIN($D$6:$D$65))&lt;$I$7),"",SUMPRODUCT($B$6:$B$65*(((SUMPRODUCT($B$6:$B$65*$AB$6:$AB$65*EXP(-P$15*((($AA$6:$AA$65-$I22)&gt;0)*($AA$6:$AA$65-$I22))))/SUMPRODUCT($B$6:$B$65*EXP(-P$15*((($AA$6:$AA$65-$I22)&gt;0)*($AA$6:$AA$65-$I22)))*EXP(-P$15*((($AA$6:$AA$65-$I22)&gt;0)*($AA$6:$AA$65-$I22))))))*EXP(-P$15*((($AA$6:$AA$65-$I22)&gt;0)*($AA$6:$AA$65-$I22)))-$AB$6:$AB$65)^2))</f>
        <v/>
      </c>
      <c r="Q22" s="18">
        <f>IF(OR(COUNTIF($D$6:$D$65,"&lt;"&amp;$I22)&lt;$I$5,COUNTIF($D$6:$D$65,"&gt;="&amp;$I22)&lt;$I$6,(MAX($D$6:$D$65)-$I22)/(MAX($D$6:$D$65)-MIN($D$6:$D$65))&lt;$I$7),"",SUMPRODUCT($B$6:$B$65*(((SUMPRODUCT($B$6:$B$65*$AB$6:$AB$65*EXP(-Q$15*((($AA$6:$AA$65-$I22)&gt;0)*($AA$6:$AA$65-$I22))))/SUMPRODUCT($B$6:$B$65*EXP(-Q$15*((($AA$6:$AA$65-$I22)&gt;0)*($AA$6:$AA$65-$I22)))*EXP(-Q$15*((($AA$6:$AA$65-$I22)&gt;0)*($AA$6:$AA$65-$I22))))))*EXP(-Q$15*((($AA$6:$AA$65-$I22)&gt;0)*($AA$6:$AA$65-$I22)))-$AB$6:$AB$65)^2))</f>
        <v/>
      </c>
      <c r="R22" s="18">
        <f>IF(OR(COUNTIF($D$6:$D$65,"&lt;"&amp;$I22)&lt;$I$5,COUNTIF($D$6:$D$65,"&gt;="&amp;$I22)&lt;$I$6,(MAX($D$6:$D$65)-$I22)/(MAX($D$6:$D$65)-MIN($D$6:$D$65))&lt;$I$7),"",SUMPRODUCT($B$6:$B$65*(((SUMPRODUCT($B$6:$B$65*$AB$6:$AB$65*EXP(-R$15*((($AA$6:$AA$65-$I22)&gt;0)*($AA$6:$AA$65-$I22))))/SUMPRODUCT($B$6:$B$65*EXP(-R$15*((($AA$6:$AA$65-$I22)&gt;0)*($AA$6:$AA$65-$I22)))*EXP(-R$15*((($AA$6:$AA$65-$I22)&gt;0)*($AA$6:$AA$65-$I22))))))*EXP(-R$15*((($AA$6:$AA$65-$I22)&gt;0)*($AA$6:$AA$65-$I22)))-$AB$6:$AB$65)^2))</f>
        <v/>
      </c>
      <c r="S22" s="18">
        <f>IF(OR(COUNTIF($D$6:$D$65,"&lt;"&amp;$I22)&lt;$I$5,COUNTIF($D$6:$D$65,"&gt;="&amp;$I22)&lt;$I$6,(MAX($D$6:$D$65)-$I22)/(MAX($D$6:$D$65)-MIN($D$6:$D$65))&lt;$I$7),"",SUMPRODUCT($B$6:$B$65*(((SUMPRODUCT($B$6:$B$65*$AB$6:$AB$65*EXP(-S$15*((($AA$6:$AA$65-$I22)&gt;0)*($AA$6:$AA$65-$I22))))/SUMPRODUCT($B$6:$B$65*EXP(-S$15*((($AA$6:$AA$65-$I22)&gt;0)*($AA$6:$AA$65-$I22)))*EXP(-S$15*((($AA$6:$AA$65-$I22)&gt;0)*($AA$6:$AA$65-$I22))))))*EXP(-S$15*((($AA$6:$AA$65-$I22)&gt;0)*($AA$6:$AA$65-$I22)))-$AB$6:$AB$65)^2))</f>
        <v/>
      </c>
      <c r="T22" s="18">
        <f>IF(OR(COUNTIF($D$6:$D$65,"&lt;"&amp;$I22)&lt;$I$5,COUNTIF($D$6:$D$65,"&gt;="&amp;$I22)&lt;$I$6,(MAX($D$6:$D$65)-$I22)/(MAX($D$6:$D$65)-MIN($D$6:$D$65))&lt;$I$7),"",SUMPRODUCT($B$6:$B$65*(((SUMPRODUCT($B$6:$B$65*$AB$6:$AB$65*EXP(-T$15*((($AA$6:$AA$65-$I22)&gt;0)*($AA$6:$AA$65-$I22))))/SUMPRODUCT($B$6:$B$65*EXP(-T$15*((($AA$6:$AA$65-$I22)&gt;0)*($AA$6:$AA$65-$I22)))*EXP(-T$15*((($AA$6:$AA$65-$I22)&gt;0)*($AA$6:$AA$65-$I22))))))*EXP(-T$15*((($AA$6:$AA$65-$I22)&gt;0)*($AA$6:$AA$65-$I22)))-$AB$6:$AB$65)^2))</f>
        <v/>
      </c>
      <c r="U22" s="18">
        <f>IF(OR(COUNTIF($D$6:$D$65,"&lt;"&amp;$I22)&lt;$I$5,COUNTIF($D$6:$D$65,"&gt;="&amp;$I22)&lt;$I$6,(MAX($D$6:$D$65)-$I22)/(MAX($D$6:$D$65)-MIN($D$6:$D$65))&lt;$I$7),"",SUMPRODUCT($B$6:$B$65*(((SUMPRODUCT($B$6:$B$65*$AB$6:$AB$65*EXP(-U$15*((($AA$6:$AA$65-$I22)&gt;0)*($AA$6:$AA$65-$I22))))/SUMPRODUCT($B$6:$B$65*EXP(-U$15*((($AA$6:$AA$65-$I22)&gt;0)*($AA$6:$AA$65-$I22)))*EXP(-U$15*((($AA$6:$AA$65-$I22)&gt;0)*($AA$6:$AA$65-$I22))))))*EXP(-U$15*((($AA$6:$AA$65-$I22)&gt;0)*($AA$6:$AA$65-$I22)))-$AB$6:$AB$65)^2))</f>
        <v/>
      </c>
      <c r="V22" s="18">
        <f>IF(COUNT(J22:U22)=0,"",MIN(J22:U22))</f>
        <v/>
      </c>
      <c r="W22" s="6">
        <f>IF(COUNT(J22:U22)=0,"",MATCH(V22,J22:U22,0))</f>
        <v/>
      </c>
      <c r="AA22" s="12">
        <f>IF(ISNUMBER(D22),D22,0)</f>
        <v/>
      </c>
      <c r="AB22" s="13">
        <f>IF(ISNUMBER(E22),E22,0)</f>
        <v/>
      </c>
    </row>
    <row r="23">
      <c r="A23" s="6" t="n">
        <v>18</v>
      </c>
      <c r="B23" s="32" t="n"/>
      <c r="C23" s="33" t="n"/>
      <c r="D23" s="10">
        <f>IF(AND(F23&gt;0,B23&gt;0),SUM($B$6:B23)/F23,"")</f>
        <v/>
      </c>
      <c r="E23" s="11">
        <f>IF(B23&gt;0,C23/B23,"")</f>
        <v/>
      </c>
      <c r="F23" s="32" t="n"/>
      <c r="I23" s="17">
        <f>MIN($D$6:$D$65)+(MAX($D$6:$D$65)-MIN($D$6:$D$65))*0.7222</f>
        <v/>
      </c>
      <c r="J23" s="18">
        <f>IF(OR(COUNTIF($D$6:$D$65,"&lt;"&amp;$I23)&lt;$I$5,COUNTIF($D$6:$D$65,"&gt;="&amp;$I23)&lt;$I$6,(MAX($D$6:$D$65)-$I23)/(MAX($D$6:$D$65)-MIN($D$6:$D$65))&lt;$I$7),"",SUMPRODUCT($B$6:$B$65*(((SUMPRODUCT($B$6:$B$65*$AB$6:$AB$65*EXP(-J$15*((($AA$6:$AA$65-$I23)&gt;0)*($AA$6:$AA$65-$I23))))/SUMPRODUCT($B$6:$B$65*EXP(-J$15*((($AA$6:$AA$65-$I23)&gt;0)*($AA$6:$AA$65-$I23)))*EXP(-J$15*((($AA$6:$AA$65-$I23)&gt;0)*($AA$6:$AA$65-$I23))))))*EXP(-J$15*((($AA$6:$AA$65-$I23)&gt;0)*($AA$6:$AA$65-$I23)))-$AB$6:$AB$65)^2))</f>
        <v/>
      </c>
      <c r="K23" s="18">
        <f>IF(OR(COUNTIF($D$6:$D$65,"&lt;"&amp;$I23)&lt;$I$5,COUNTIF($D$6:$D$65,"&gt;="&amp;$I23)&lt;$I$6,(MAX($D$6:$D$65)-$I23)/(MAX($D$6:$D$65)-MIN($D$6:$D$65))&lt;$I$7),"",SUMPRODUCT($B$6:$B$65*(((SUMPRODUCT($B$6:$B$65*$AB$6:$AB$65*EXP(-K$15*((($AA$6:$AA$65-$I23)&gt;0)*($AA$6:$AA$65-$I23))))/SUMPRODUCT($B$6:$B$65*EXP(-K$15*((($AA$6:$AA$65-$I23)&gt;0)*($AA$6:$AA$65-$I23)))*EXP(-K$15*((($AA$6:$AA$65-$I23)&gt;0)*($AA$6:$AA$65-$I23))))))*EXP(-K$15*((($AA$6:$AA$65-$I23)&gt;0)*($AA$6:$AA$65-$I23)))-$AB$6:$AB$65)^2))</f>
        <v/>
      </c>
      <c r="L23" s="18">
        <f>IF(OR(COUNTIF($D$6:$D$65,"&lt;"&amp;$I23)&lt;$I$5,COUNTIF($D$6:$D$65,"&gt;="&amp;$I23)&lt;$I$6,(MAX($D$6:$D$65)-$I23)/(MAX($D$6:$D$65)-MIN($D$6:$D$65))&lt;$I$7),"",SUMPRODUCT($B$6:$B$65*(((SUMPRODUCT($B$6:$B$65*$AB$6:$AB$65*EXP(-L$15*((($AA$6:$AA$65-$I23)&gt;0)*($AA$6:$AA$65-$I23))))/SUMPRODUCT($B$6:$B$65*EXP(-L$15*((($AA$6:$AA$65-$I23)&gt;0)*($AA$6:$AA$65-$I23)))*EXP(-L$15*((($AA$6:$AA$65-$I23)&gt;0)*($AA$6:$AA$65-$I23))))))*EXP(-L$15*((($AA$6:$AA$65-$I23)&gt;0)*($AA$6:$AA$65-$I23)))-$AB$6:$AB$65)^2))</f>
        <v/>
      </c>
      <c r="M23" s="18">
        <f>IF(OR(COUNTIF($D$6:$D$65,"&lt;"&amp;$I23)&lt;$I$5,COUNTIF($D$6:$D$65,"&gt;="&amp;$I23)&lt;$I$6,(MAX($D$6:$D$65)-$I23)/(MAX($D$6:$D$65)-MIN($D$6:$D$65))&lt;$I$7),"",SUMPRODUCT($B$6:$B$65*(((SUMPRODUCT($B$6:$B$65*$AB$6:$AB$65*EXP(-M$15*((($AA$6:$AA$65-$I23)&gt;0)*($AA$6:$AA$65-$I23))))/SUMPRODUCT($B$6:$B$65*EXP(-M$15*((($AA$6:$AA$65-$I23)&gt;0)*($AA$6:$AA$65-$I23)))*EXP(-M$15*((($AA$6:$AA$65-$I23)&gt;0)*($AA$6:$AA$65-$I23))))))*EXP(-M$15*((($AA$6:$AA$65-$I23)&gt;0)*($AA$6:$AA$65-$I23)))-$AB$6:$AB$65)^2))</f>
        <v/>
      </c>
      <c r="N23" s="18">
        <f>IF(OR(COUNTIF($D$6:$D$65,"&lt;"&amp;$I23)&lt;$I$5,COUNTIF($D$6:$D$65,"&gt;="&amp;$I23)&lt;$I$6,(MAX($D$6:$D$65)-$I23)/(MAX($D$6:$D$65)-MIN($D$6:$D$65))&lt;$I$7),"",SUMPRODUCT($B$6:$B$65*(((SUMPRODUCT($B$6:$B$65*$AB$6:$AB$65*EXP(-N$15*((($AA$6:$AA$65-$I23)&gt;0)*($AA$6:$AA$65-$I23))))/SUMPRODUCT($B$6:$B$65*EXP(-N$15*((($AA$6:$AA$65-$I23)&gt;0)*($AA$6:$AA$65-$I23)))*EXP(-N$15*((($AA$6:$AA$65-$I23)&gt;0)*($AA$6:$AA$65-$I23))))))*EXP(-N$15*((($AA$6:$AA$65-$I23)&gt;0)*($AA$6:$AA$65-$I23)))-$AB$6:$AB$65)^2))</f>
        <v/>
      </c>
      <c r="O23" s="18">
        <f>IF(OR(COUNTIF($D$6:$D$65,"&lt;"&amp;$I23)&lt;$I$5,COUNTIF($D$6:$D$65,"&gt;="&amp;$I23)&lt;$I$6,(MAX($D$6:$D$65)-$I23)/(MAX($D$6:$D$65)-MIN($D$6:$D$65))&lt;$I$7),"",SUMPRODUCT($B$6:$B$65*(((SUMPRODUCT($B$6:$B$65*$AB$6:$AB$65*EXP(-O$15*((($AA$6:$AA$65-$I23)&gt;0)*($AA$6:$AA$65-$I23))))/SUMPRODUCT($B$6:$B$65*EXP(-O$15*((($AA$6:$AA$65-$I23)&gt;0)*($AA$6:$AA$65-$I23)))*EXP(-O$15*((($AA$6:$AA$65-$I23)&gt;0)*($AA$6:$AA$65-$I23))))))*EXP(-O$15*((($AA$6:$AA$65-$I23)&gt;0)*($AA$6:$AA$65-$I23)))-$AB$6:$AB$65)^2))</f>
        <v/>
      </c>
      <c r="P23" s="18">
        <f>IF(OR(COUNTIF($D$6:$D$65,"&lt;"&amp;$I23)&lt;$I$5,COUNTIF($D$6:$D$65,"&gt;="&amp;$I23)&lt;$I$6,(MAX($D$6:$D$65)-$I23)/(MAX($D$6:$D$65)-MIN($D$6:$D$65))&lt;$I$7),"",SUMPRODUCT($B$6:$B$65*(((SUMPRODUCT($B$6:$B$65*$AB$6:$AB$65*EXP(-P$15*((($AA$6:$AA$65-$I23)&gt;0)*($AA$6:$AA$65-$I23))))/SUMPRODUCT($B$6:$B$65*EXP(-P$15*((($AA$6:$AA$65-$I23)&gt;0)*($AA$6:$AA$65-$I23)))*EXP(-P$15*((($AA$6:$AA$65-$I23)&gt;0)*($AA$6:$AA$65-$I23))))))*EXP(-P$15*((($AA$6:$AA$65-$I23)&gt;0)*($AA$6:$AA$65-$I23)))-$AB$6:$AB$65)^2))</f>
        <v/>
      </c>
      <c r="Q23" s="18">
        <f>IF(OR(COUNTIF($D$6:$D$65,"&lt;"&amp;$I23)&lt;$I$5,COUNTIF($D$6:$D$65,"&gt;="&amp;$I23)&lt;$I$6,(MAX($D$6:$D$65)-$I23)/(MAX($D$6:$D$65)-MIN($D$6:$D$65))&lt;$I$7),"",SUMPRODUCT($B$6:$B$65*(((SUMPRODUCT($B$6:$B$65*$AB$6:$AB$65*EXP(-Q$15*((($AA$6:$AA$65-$I23)&gt;0)*($AA$6:$AA$65-$I23))))/SUMPRODUCT($B$6:$B$65*EXP(-Q$15*((($AA$6:$AA$65-$I23)&gt;0)*($AA$6:$AA$65-$I23)))*EXP(-Q$15*((($AA$6:$AA$65-$I23)&gt;0)*($AA$6:$AA$65-$I23))))))*EXP(-Q$15*((($AA$6:$AA$65-$I23)&gt;0)*($AA$6:$AA$65-$I23)))-$AB$6:$AB$65)^2))</f>
        <v/>
      </c>
      <c r="R23" s="18">
        <f>IF(OR(COUNTIF($D$6:$D$65,"&lt;"&amp;$I23)&lt;$I$5,COUNTIF($D$6:$D$65,"&gt;="&amp;$I23)&lt;$I$6,(MAX($D$6:$D$65)-$I23)/(MAX($D$6:$D$65)-MIN($D$6:$D$65))&lt;$I$7),"",SUMPRODUCT($B$6:$B$65*(((SUMPRODUCT($B$6:$B$65*$AB$6:$AB$65*EXP(-R$15*((($AA$6:$AA$65-$I23)&gt;0)*($AA$6:$AA$65-$I23))))/SUMPRODUCT($B$6:$B$65*EXP(-R$15*((($AA$6:$AA$65-$I23)&gt;0)*($AA$6:$AA$65-$I23)))*EXP(-R$15*((($AA$6:$AA$65-$I23)&gt;0)*($AA$6:$AA$65-$I23))))))*EXP(-R$15*((($AA$6:$AA$65-$I23)&gt;0)*($AA$6:$AA$65-$I23)))-$AB$6:$AB$65)^2))</f>
        <v/>
      </c>
      <c r="S23" s="18">
        <f>IF(OR(COUNTIF($D$6:$D$65,"&lt;"&amp;$I23)&lt;$I$5,COUNTIF($D$6:$D$65,"&gt;="&amp;$I23)&lt;$I$6,(MAX($D$6:$D$65)-$I23)/(MAX($D$6:$D$65)-MIN($D$6:$D$65))&lt;$I$7),"",SUMPRODUCT($B$6:$B$65*(((SUMPRODUCT($B$6:$B$65*$AB$6:$AB$65*EXP(-S$15*((($AA$6:$AA$65-$I23)&gt;0)*($AA$6:$AA$65-$I23))))/SUMPRODUCT($B$6:$B$65*EXP(-S$15*((($AA$6:$AA$65-$I23)&gt;0)*($AA$6:$AA$65-$I23)))*EXP(-S$15*((($AA$6:$AA$65-$I23)&gt;0)*($AA$6:$AA$65-$I23))))))*EXP(-S$15*((($AA$6:$AA$65-$I23)&gt;0)*($AA$6:$AA$65-$I23)))-$AB$6:$AB$65)^2))</f>
        <v/>
      </c>
      <c r="T23" s="18">
        <f>IF(OR(COUNTIF($D$6:$D$65,"&lt;"&amp;$I23)&lt;$I$5,COUNTIF($D$6:$D$65,"&gt;="&amp;$I23)&lt;$I$6,(MAX($D$6:$D$65)-$I23)/(MAX($D$6:$D$65)-MIN($D$6:$D$65))&lt;$I$7),"",SUMPRODUCT($B$6:$B$65*(((SUMPRODUCT($B$6:$B$65*$AB$6:$AB$65*EXP(-T$15*((($AA$6:$AA$65-$I23)&gt;0)*($AA$6:$AA$65-$I23))))/SUMPRODUCT($B$6:$B$65*EXP(-T$15*((($AA$6:$AA$65-$I23)&gt;0)*($AA$6:$AA$65-$I23)))*EXP(-T$15*((($AA$6:$AA$65-$I23)&gt;0)*($AA$6:$AA$65-$I23))))))*EXP(-T$15*((($AA$6:$AA$65-$I23)&gt;0)*($AA$6:$AA$65-$I23)))-$AB$6:$AB$65)^2))</f>
        <v/>
      </c>
      <c r="U23" s="18">
        <f>IF(OR(COUNTIF($D$6:$D$65,"&lt;"&amp;$I23)&lt;$I$5,COUNTIF($D$6:$D$65,"&gt;="&amp;$I23)&lt;$I$6,(MAX($D$6:$D$65)-$I23)/(MAX($D$6:$D$65)-MIN($D$6:$D$65))&lt;$I$7),"",SUMPRODUCT($B$6:$B$65*(((SUMPRODUCT($B$6:$B$65*$AB$6:$AB$65*EXP(-U$15*((($AA$6:$AA$65-$I23)&gt;0)*($AA$6:$AA$65-$I23))))/SUMPRODUCT($B$6:$B$65*EXP(-U$15*((($AA$6:$AA$65-$I23)&gt;0)*($AA$6:$AA$65-$I23)))*EXP(-U$15*((($AA$6:$AA$65-$I23)&gt;0)*($AA$6:$AA$65-$I23))))))*EXP(-U$15*((($AA$6:$AA$65-$I23)&gt;0)*($AA$6:$AA$65-$I23)))-$AB$6:$AB$65)^2))</f>
        <v/>
      </c>
      <c r="V23" s="18">
        <f>IF(COUNT(J23:U23)=0,"",MIN(J23:U23))</f>
        <v/>
      </c>
      <c r="W23" s="6">
        <f>IF(COUNT(J23:U23)=0,"",MATCH(V23,J23:U23,0))</f>
        <v/>
      </c>
      <c r="AA23" s="12">
        <f>IF(ISNUMBER(D23),D23,0)</f>
        <v/>
      </c>
      <c r="AB23" s="13">
        <f>IF(ISNUMBER(E23),E23,0)</f>
        <v/>
      </c>
    </row>
    <row r="24">
      <c r="A24" s="6" t="n">
        <v>19</v>
      </c>
      <c r="B24" s="32" t="n"/>
      <c r="C24" s="33" t="n"/>
      <c r="D24" s="10">
        <f>IF(AND(F24&gt;0,B24&gt;0),SUM($B$6:B24)/F24,"")</f>
        <v/>
      </c>
      <c r="E24" s="11">
        <f>IF(B24&gt;0,C24/B24,"")</f>
        <v/>
      </c>
      <c r="F24" s="32" t="n"/>
      <c r="I24" s="17">
        <f>MIN($D$6:$D$65)+(MAX($D$6:$D$65)-MIN($D$6:$D$65))*0.8111</f>
        <v/>
      </c>
      <c r="J24" s="18">
        <f>IF(OR(COUNTIF($D$6:$D$65,"&lt;"&amp;$I24)&lt;$I$5,COUNTIF($D$6:$D$65,"&gt;="&amp;$I24)&lt;$I$6,(MAX($D$6:$D$65)-$I24)/(MAX($D$6:$D$65)-MIN($D$6:$D$65))&lt;$I$7),"",SUMPRODUCT($B$6:$B$65*(((SUMPRODUCT($B$6:$B$65*$AB$6:$AB$65*EXP(-J$15*((($AA$6:$AA$65-$I24)&gt;0)*($AA$6:$AA$65-$I24))))/SUMPRODUCT($B$6:$B$65*EXP(-J$15*((($AA$6:$AA$65-$I24)&gt;0)*($AA$6:$AA$65-$I24)))*EXP(-J$15*((($AA$6:$AA$65-$I24)&gt;0)*($AA$6:$AA$65-$I24))))))*EXP(-J$15*((($AA$6:$AA$65-$I24)&gt;0)*($AA$6:$AA$65-$I24)))-$AB$6:$AB$65)^2))</f>
        <v/>
      </c>
      <c r="K24" s="18">
        <f>IF(OR(COUNTIF($D$6:$D$65,"&lt;"&amp;$I24)&lt;$I$5,COUNTIF($D$6:$D$65,"&gt;="&amp;$I24)&lt;$I$6,(MAX($D$6:$D$65)-$I24)/(MAX($D$6:$D$65)-MIN($D$6:$D$65))&lt;$I$7),"",SUMPRODUCT($B$6:$B$65*(((SUMPRODUCT($B$6:$B$65*$AB$6:$AB$65*EXP(-K$15*((($AA$6:$AA$65-$I24)&gt;0)*($AA$6:$AA$65-$I24))))/SUMPRODUCT($B$6:$B$65*EXP(-K$15*((($AA$6:$AA$65-$I24)&gt;0)*($AA$6:$AA$65-$I24)))*EXP(-K$15*((($AA$6:$AA$65-$I24)&gt;0)*($AA$6:$AA$65-$I24))))))*EXP(-K$15*((($AA$6:$AA$65-$I24)&gt;0)*($AA$6:$AA$65-$I24)))-$AB$6:$AB$65)^2))</f>
        <v/>
      </c>
      <c r="L24" s="18">
        <f>IF(OR(COUNTIF($D$6:$D$65,"&lt;"&amp;$I24)&lt;$I$5,COUNTIF($D$6:$D$65,"&gt;="&amp;$I24)&lt;$I$6,(MAX($D$6:$D$65)-$I24)/(MAX($D$6:$D$65)-MIN($D$6:$D$65))&lt;$I$7),"",SUMPRODUCT($B$6:$B$65*(((SUMPRODUCT($B$6:$B$65*$AB$6:$AB$65*EXP(-L$15*((($AA$6:$AA$65-$I24)&gt;0)*($AA$6:$AA$65-$I24))))/SUMPRODUCT($B$6:$B$65*EXP(-L$15*((($AA$6:$AA$65-$I24)&gt;0)*($AA$6:$AA$65-$I24)))*EXP(-L$15*((($AA$6:$AA$65-$I24)&gt;0)*($AA$6:$AA$65-$I24))))))*EXP(-L$15*((($AA$6:$AA$65-$I24)&gt;0)*($AA$6:$AA$65-$I24)))-$AB$6:$AB$65)^2))</f>
        <v/>
      </c>
      <c r="M24" s="18">
        <f>IF(OR(COUNTIF($D$6:$D$65,"&lt;"&amp;$I24)&lt;$I$5,COUNTIF($D$6:$D$65,"&gt;="&amp;$I24)&lt;$I$6,(MAX($D$6:$D$65)-$I24)/(MAX($D$6:$D$65)-MIN($D$6:$D$65))&lt;$I$7),"",SUMPRODUCT($B$6:$B$65*(((SUMPRODUCT($B$6:$B$65*$AB$6:$AB$65*EXP(-M$15*((($AA$6:$AA$65-$I24)&gt;0)*($AA$6:$AA$65-$I24))))/SUMPRODUCT($B$6:$B$65*EXP(-M$15*((($AA$6:$AA$65-$I24)&gt;0)*($AA$6:$AA$65-$I24)))*EXP(-M$15*((($AA$6:$AA$65-$I24)&gt;0)*($AA$6:$AA$65-$I24))))))*EXP(-M$15*((($AA$6:$AA$65-$I24)&gt;0)*($AA$6:$AA$65-$I24)))-$AB$6:$AB$65)^2))</f>
        <v/>
      </c>
      <c r="N24" s="18">
        <f>IF(OR(COUNTIF($D$6:$D$65,"&lt;"&amp;$I24)&lt;$I$5,COUNTIF($D$6:$D$65,"&gt;="&amp;$I24)&lt;$I$6,(MAX($D$6:$D$65)-$I24)/(MAX($D$6:$D$65)-MIN($D$6:$D$65))&lt;$I$7),"",SUMPRODUCT($B$6:$B$65*(((SUMPRODUCT($B$6:$B$65*$AB$6:$AB$65*EXP(-N$15*((($AA$6:$AA$65-$I24)&gt;0)*($AA$6:$AA$65-$I24))))/SUMPRODUCT($B$6:$B$65*EXP(-N$15*((($AA$6:$AA$65-$I24)&gt;0)*($AA$6:$AA$65-$I24)))*EXP(-N$15*((($AA$6:$AA$65-$I24)&gt;0)*($AA$6:$AA$65-$I24))))))*EXP(-N$15*((($AA$6:$AA$65-$I24)&gt;0)*($AA$6:$AA$65-$I24)))-$AB$6:$AB$65)^2))</f>
        <v/>
      </c>
      <c r="O24" s="18">
        <f>IF(OR(COUNTIF($D$6:$D$65,"&lt;"&amp;$I24)&lt;$I$5,COUNTIF($D$6:$D$65,"&gt;="&amp;$I24)&lt;$I$6,(MAX($D$6:$D$65)-$I24)/(MAX($D$6:$D$65)-MIN($D$6:$D$65))&lt;$I$7),"",SUMPRODUCT($B$6:$B$65*(((SUMPRODUCT($B$6:$B$65*$AB$6:$AB$65*EXP(-O$15*((($AA$6:$AA$65-$I24)&gt;0)*($AA$6:$AA$65-$I24))))/SUMPRODUCT($B$6:$B$65*EXP(-O$15*((($AA$6:$AA$65-$I24)&gt;0)*($AA$6:$AA$65-$I24)))*EXP(-O$15*((($AA$6:$AA$65-$I24)&gt;0)*($AA$6:$AA$65-$I24))))))*EXP(-O$15*((($AA$6:$AA$65-$I24)&gt;0)*($AA$6:$AA$65-$I24)))-$AB$6:$AB$65)^2))</f>
        <v/>
      </c>
      <c r="P24" s="18">
        <f>IF(OR(COUNTIF($D$6:$D$65,"&lt;"&amp;$I24)&lt;$I$5,COUNTIF($D$6:$D$65,"&gt;="&amp;$I24)&lt;$I$6,(MAX($D$6:$D$65)-$I24)/(MAX($D$6:$D$65)-MIN($D$6:$D$65))&lt;$I$7),"",SUMPRODUCT($B$6:$B$65*(((SUMPRODUCT($B$6:$B$65*$AB$6:$AB$65*EXP(-P$15*((($AA$6:$AA$65-$I24)&gt;0)*($AA$6:$AA$65-$I24))))/SUMPRODUCT($B$6:$B$65*EXP(-P$15*((($AA$6:$AA$65-$I24)&gt;0)*($AA$6:$AA$65-$I24)))*EXP(-P$15*((($AA$6:$AA$65-$I24)&gt;0)*($AA$6:$AA$65-$I24))))))*EXP(-P$15*((($AA$6:$AA$65-$I24)&gt;0)*($AA$6:$AA$65-$I24)))-$AB$6:$AB$65)^2))</f>
        <v/>
      </c>
      <c r="Q24" s="18">
        <f>IF(OR(COUNTIF($D$6:$D$65,"&lt;"&amp;$I24)&lt;$I$5,COUNTIF($D$6:$D$65,"&gt;="&amp;$I24)&lt;$I$6,(MAX($D$6:$D$65)-$I24)/(MAX($D$6:$D$65)-MIN($D$6:$D$65))&lt;$I$7),"",SUMPRODUCT($B$6:$B$65*(((SUMPRODUCT($B$6:$B$65*$AB$6:$AB$65*EXP(-Q$15*((($AA$6:$AA$65-$I24)&gt;0)*($AA$6:$AA$65-$I24))))/SUMPRODUCT($B$6:$B$65*EXP(-Q$15*((($AA$6:$AA$65-$I24)&gt;0)*($AA$6:$AA$65-$I24)))*EXP(-Q$15*((($AA$6:$AA$65-$I24)&gt;0)*($AA$6:$AA$65-$I24))))))*EXP(-Q$15*((($AA$6:$AA$65-$I24)&gt;0)*($AA$6:$AA$65-$I24)))-$AB$6:$AB$65)^2))</f>
        <v/>
      </c>
      <c r="R24" s="18">
        <f>IF(OR(COUNTIF($D$6:$D$65,"&lt;"&amp;$I24)&lt;$I$5,COUNTIF($D$6:$D$65,"&gt;="&amp;$I24)&lt;$I$6,(MAX($D$6:$D$65)-$I24)/(MAX($D$6:$D$65)-MIN($D$6:$D$65))&lt;$I$7),"",SUMPRODUCT($B$6:$B$65*(((SUMPRODUCT($B$6:$B$65*$AB$6:$AB$65*EXP(-R$15*((($AA$6:$AA$65-$I24)&gt;0)*($AA$6:$AA$65-$I24))))/SUMPRODUCT($B$6:$B$65*EXP(-R$15*((($AA$6:$AA$65-$I24)&gt;0)*($AA$6:$AA$65-$I24)))*EXP(-R$15*((($AA$6:$AA$65-$I24)&gt;0)*($AA$6:$AA$65-$I24))))))*EXP(-R$15*((($AA$6:$AA$65-$I24)&gt;0)*($AA$6:$AA$65-$I24)))-$AB$6:$AB$65)^2))</f>
        <v/>
      </c>
      <c r="S24" s="18">
        <f>IF(OR(COUNTIF($D$6:$D$65,"&lt;"&amp;$I24)&lt;$I$5,COUNTIF($D$6:$D$65,"&gt;="&amp;$I24)&lt;$I$6,(MAX($D$6:$D$65)-$I24)/(MAX($D$6:$D$65)-MIN($D$6:$D$65))&lt;$I$7),"",SUMPRODUCT($B$6:$B$65*(((SUMPRODUCT($B$6:$B$65*$AB$6:$AB$65*EXP(-S$15*((($AA$6:$AA$65-$I24)&gt;0)*($AA$6:$AA$65-$I24))))/SUMPRODUCT($B$6:$B$65*EXP(-S$15*((($AA$6:$AA$65-$I24)&gt;0)*($AA$6:$AA$65-$I24)))*EXP(-S$15*((($AA$6:$AA$65-$I24)&gt;0)*($AA$6:$AA$65-$I24))))))*EXP(-S$15*((($AA$6:$AA$65-$I24)&gt;0)*($AA$6:$AA$65-$I24)))-$AB$6:$AB$65)^2))</f>
        <v/>
      </c>
      <c r="T24" s="18">
        <f>IF(OR(COUNTIF($D$6:$D$65,"&lt;"&amp;$I24)&lt;$I$5,COUNTIF($D$6:$D$65,"&gt;="&amp;$I24)&lt;$I$6,(MAX($D$6:$D$65)-$I24)/(MAX($D$6:$D$65)-MIN($D$6:$D$65))&lt;$I$7),"",SUMPRODUCT($B$6:$B$65*(((SUMPRODUCT($B$6:$B$65*$AB$6:$AB$65*EXP(-T$15*((($AA$6:$AA$65-$I24)&gt;0)*($AA$6:$AA$65-$I24))))/SUMPRODUCT($B$6:$B$65*EXP(-T$15*((($AA$6:$AA$65-$I24)&gt;0)*($AA$6:$AA$65-$I24)))*EXP(-T$15*((($AA$6:$AA$65-$I24)&gt;0)*($AA$6:$AA$65-$I24))))))*EXP(-T$15*((($AA$6:$AA$65-$I24)&gt;0)*($AA$6:$AA$65-$I24)))-$AB$6:$AB$65)^2))</f>
        <v/>
      </c>
      <c r="U24" s="18">
        <f>IF(OR(COUNTIF($D$6:$D$65,"&lt;"&amp;$I24)&lt;$I$5,COUNTIF($D$6:$D$65,"&gt;="&amp;$I24)&lt;$I$6,(MAX($D$6:$D$65)-$I24)/(MAX($D$6:$D$65)-MIN($D$6:$D$65))&lt;$I$7),"",SUMPRODUCT($B$6:$B$65*(((SUMPRODUCT($B$6:$B$65*$AB$6:$AB$65*EXP(-U$15*((($AA$6:$AA$65-$I24)&gt;0)*($AA$6:$AA$65-$I24))))/SUMPRODUCT($B$6:$B$65*EXP(-U$15*((($AA$6:$AA$65-$I24)&gt;0)*($AA$6:$AA$65-$I24)))*EXP(-U$15*((($AA$6:$AA$65-$I24)&gt;0)*($AA$6:$AA$65-$I24))))))*EXP(-U$15*((($AA$6:$AA$65-$I24)&gt;0)*($AA$6:$AA$65-$I24)))-$AB$6:$AB$65)^2))</f>
        <v/>
      </c>
      <c r="V24" s="18">
        <f>IF(COUNT(J24:U24)=0,"",MIN(J24:U24))</f>
        <v/>
      </c>
      <c r="W24" s="6">
        <f>IF(COUNT(J24:U24)=0,"",MATCH(V24,J24:U24,0))</f>
        <v/>
      </c>
      <c r="AA24" s="12">
        <f>IF(ISNUMBER(D24),D24,0)</f>
        <v/>
      </c>
      <c r="AB24" s="13">
        <f>IF(ISNUMBER(E24),E24,0)</f>
        <v/>
      </c>
    </row>
    <row r="25">
      <c r="A25" s="6" t="n">
        <v>20</v>
      </c>
      <c r="B25" s="32" t="n"/>
      <c r="C25" s="33" t="n"/>
      <c r="D25" s="10">
        <f>IF(AND(F25&gt;0,B25&gt;0),SUM($B$6:B25)/F25,"")</f>
        <v/>
      </c>
      <c r="E25" s="11">
        <f>IF(B25&gt;0,C25/B25,"")</f>
        <v/>
      </c>
      <c r="F25" s="32" t="n"/>
      <c r="I25" s="17">
        <f>MIN($D$6:$D$65)+(MAX($D$6:$D$65)-MIN($D$6:$D$65))*0.9000</f>
        <v/>
      </c>
      <c r="J25" s="18">
        <f>IF(OR(COUNTIF($D$6:$D$65,"&lt;"&amp;$I25)&lt;$I$5,COUNTIF($D$6:$D$65,"&gt;="&amp;$I25)&lt;$I$6,(MAX($D$6:$D$65)-$I25)/(MAX($D$6:$D$65)-MIN($D$6:$D$65))&lt;$I$7),"",SUMPRODUCT($B$6:$B$65*(((SUMPRODUCT($B$6:$B$65*$AB$6:$AB$65*EXP(-J$15*((($AA$6:$AA$65-$I25)&gt;0)*($AA$6:$AA$65-$I25))))/SUMPRODUCT($B$6:$B$65*EXP(-J$15*((($AA$6:$AA$65-$I25)&gt;0)*($AA$6:$AA$65-$I25)))*EXP(-J$15*((($AA$6:$AA$65-$I25)&gt;0)*($AA$6:$AA$65-$I25))))))*EXP(-J$15*((($AA$6:$AA$65-$I25)&gt;0)*($AA$6:$AA$65-$I25)))-$AB$6:$AB$65)^2))</f>
        <v/>
      </c>
      <c r="K25" s="18">
        <f>IF(OR(COUNTIF($D$6:$D$65,"&lt;"&amp;$I25)&lt;$I$5,COUNTIF($D$6:$D$65,"&gt;="&amp;$I25)&lt;$I$6,(MAX($D$6:$D$65)-$I25)/(MAX($D$6:$D$65)-MIN($D$6:$D$65))&lt;$I$7),"",SUMPRODUCT($B$6:$B$65*(((SUMPRODUCT($B$6:$B$65*$AB$6:$AB$65*EXP(-K$15*((($AA$6:$AA$65-$I25)&gt;0)*($AA$6:$AA$65-$I25))))/SUMPRODUCT($B$6:$B$65*EXP(-K$15*((($AA$6:$AA$65-$I25)&gt;0)*($AA$6:$AA$65-$I25)))*EXP(-K$15*((($AA$6:$AA$65-$I25)&gt;0)*($AA$6:$AA$65-$I25))))))*EXP(-K$15*((($AA$6:$AA$65-$I25)&gt;0)*($AA$6:$AA$65-$I25)))-$AB$6:$AB$65)^2))</f>
        <v/>
      </c>
      <c r="L25" s="18">
        <f>IF(OR(COUNTIF($D$6:$D$65,"&lt;"&amp;$I25)&lt;$I$5,COUNTIF($D$6:$D$65,"&gt;="&amp;$I25)&lt;$I$6,(MAX($D$6:$D$65)-$I25)/(MAX($D$6:$D$65)-MIN($D$6:$D$65))&lt;$I$7),"",SUMPRODUCT($B$6:$B$65*(((SUMPRODUCT($B$6:$B$65*$AB$6:$AB$65*EXP(-L$15*((($AA$6:$AA$65-$I25)&gt;0)*($AA$6:$AA$65-$I25))))/SUMPRODUCT($B$6:$B$65*EXP(-L$15*((($AA$6:$AA$65-$I25)&gt;0)*($AA$6:$AA$65-$I25)))*EXP(-L$15*((($AA$6:$AA$65-$I25)&gt;0)*($AA$6:$AA$65-$I25))))))*EXP(-L$15*((($AA$6:$AA$65-$I25)&gt;0)*($AA$6:$AA$65-$I25)))-$AB$6:$AB$65)^2))</f>
        <v/>
      </c>
      <c r="M25" s="18">
        <f>IF(OR(COUNTIF($D$6:$D$65,"&lt;"&amp;$I25)&lt;$I$5,COUNTIF($D$6:$D$65,"&gt;="&amp;$I25)&lt;$I$6,(MAX($D$6:$D$65)-$I25)/(MAX($D$6:$D$65)-MIN($D$6:$D$65))&lt;$I$7),"",SUMPRODUCT($B$6:$B$65*(((SUMPRODUCT($B$6:$B$65*$AB$6:$AB$65*EXP(-M$15*((($AA$6:$AA$65-$I25)&gt;0)*($AA$6:$AA$65-$I25))))/SUMPRODUCT($B$6:$B$65*EXP(-M$15*((($AA$6:$AA$65-$I25)&gt;0)*($AA$6:$AA$65-$I25)))*EXP(-M$15*((($AA$6:$AA$65-$I25)&gt;0)*($AA$6:$AA$65-$I25))))))*EXP(-M$15*((($AA$6:$AA$65-$I25)&gt;0)*($AA$6:$AA$65-$I25)))-$AB$6:$AB$65)^2))</f>
        <v/>
      </c>
      <c r="N25" s="18">
        <f>IF(OR(COUNTIF($D$6:$D$65,"&lt;"&amp;$I25)&lt;$I$5,COUNTIF($D$6:$D$65,"&gt;="&amp;$I25)&lt;$I$6,(MAX($D$6:$D$65)-$I25)/(MAX($D$6:$D$65)-MIN($D$6:$D$65))&lt;$I$7),"",SUMPRODUCT($B$6:$B$65*(((SUMPRODUCT($B$6:$B$65*$AB$6:$AB$65*EXP(-N$15*((($AA$6:$AA$65-$I25)&gt;0)*($AA$6:$AA$65-$I25))))/SUMPRODUCT($B$6:$B$65*EXP(-N$15*((($AA$6:$AA$65-$I25)&gt;0)*($AA$6:$AA$65-$I25)))*EXP(-N$15*((($AA$6:$AA$65-$I25)&gt;0)*($AA$6:$AA$65-$I25))))))*EXP(-N$15*((($AA$6:$AA$65-$I25)&gt;0)*($AA$6:$AA$65-$I25)))-$AB$6:$AB$65)^2))</f>
        <v/>
      </c>
      <c r="O25" s="18">
        <f>IF(OR(COUNTIF($D$6:$D$65,"&lt;"&amp;$I25)&lt;$I$5,COUNTIF($D$6:$D$65,"&gt;="&amp;$I25)&lt;$I$6,(MAX($D$6:$D$65)-$I25)/(MAX($D$6:$D$65)-MIN($D$6:$D$65))&lt;$I$7),"",SUMPRODUCT($B$6:$B$65*(((SUMPRODUCT($B$6:$B$65*$AB$6:$AB$65*EXP(-O$15*((($AA$6:$AA$65-$I25)&gt;0)*($AA$6:$AA$65-$I25))))/SUMPRODUCT($B$6:$B$65*EXP(-O$15*((($AA$6:$AA$65-$I25)&gt;0)*($AA$6:$AA$65-$I25)))*EXP(-O$15*((($AA$6:$AA$65-$I25)&gt;0)*($AA$6:$AA$65-$I25))))))*EXP(-O$15*((($AA$6:$AA$65-$I25)&gt;0)*($AA$6:$AA$65-$I25)))-$AB$6:$AB$65)^2))</f>
        <v/>
      </c>
      <c r="P25" s="18">
        <f>IF(OR(COUNTIF($D$6:$D$65,"&lt;"&amp;$I25)&lt;$I$5,COUNTIF($D$6:$D$65,"&gt;="&amp;$I25)&lt;$I$6,(MAX($D$6:$D$65)-$I25)/(MAX($D$6:$D$65)-MIN($D$6:$D$65))&lt;$I$7),"",SUMPRODUCT($B$6:$B$65*(((SUMPRODUCT($B$6:$B$65*$AB$6:$AB$65*EXP(-P$15*((($AA$6:$AA$65-$I25)&gt;0)*($AA$6:$AA$65-$I25))))/SUMPRODUCT($B$6:$B$65*EXP(-P$15*((($AA$6:$AA$65-$I25)&gt;0)*($AA$6:$AA$65-$I25)))*EXP(-P$15*((($AA$6:$AA$65-$I25)&gt;0)*($AA$6:$AA$65-$I25))))))*EXP(-P$15*((($AA$6:$AA$65-$I25)&gt;0)*($AA$6:$AA$65-$I25)))-$AB$6:$AB$65)^2))</f>
        <v/>
      </c>
      <c r="Q25" s="18">
        <f>IF(OR(COUNTIF($D$6:$D$65,"&lt;"&amp;$I25)&lt;$I$5,COUNTIF($D$6:$D$65,"&gt;="&amp;$I25)&lt;$I$6,(MAX($D$6:$D$65)-$I25)/(MAX($D$6:$D$65)-MIN($D$6:$D$65))&lt;$I$7),"",SUMPRODUCT($B$6:$B$65*(((SUMPRODUCT($B$6:$B$65*$AB$6:$AB$65*EXP(-Q$15*((($AA$6:$AA$65-$I25)&gt;0)*($AA$6:$AA$65-$I25))))/SUMPRODUCT($B$6:$B$65*EXP(-Q$15*((($AA$6:$AA$65-$I25)&gt;0)*($AA$6:$AA$65-$I25)))*EXP(-Q$15*((($AA$6:$AA$65-$I25)&gt;0)*($AA$6:$AA$65-$I25))))))*EXP(-Q$15*((($AA$6:$AA$65-$I25)&gt;0)*($AA$6:$AA$65-$I25)))-$AB$6:$AB$65)^2))</f>
        <v/>
      </c>
      <c r="R25" s="18">
        <f>IF(OR(COUNTIF($D$6:$D$65,"&lt;"&amp;$I25)&lt;$I$5,COUNTIF($D$6:$D$65,"&gt;="&amp;$I25)&lt;$I$6,(MAX($D$6:$D$65)-$I25)/(MAX($D$6:$D$65)-MIN($D$6:$D$65))&lt;$I$7),"",SUMPRODUCT($B$6:$B$65*(((SUMPRODUCT($B$6:$B$65*$AB$6:$AB$65*EXP(-R$15*((($AA$6:$AA$65-$I25)&gt;0)*($AA$6:$AA$65-$I25))))/SUMPRODUCT($B$6:$B$65*EXP(-R$15*((($AA$6:$AA$65-$I25)&gt;0)*($AA$6:$AA$65-$I25)))*EXP(-R$15*((($AA$6:$AA$65-$I25)&gt;0)*($AA$6:$AA$65-$I25))))))*EXP(-R$15*((($AA$6:$AA$65-$I25)&gt;0)*($AA$6:$AA$65-$I25)))-$AB$6:$AB$65)^2))</f>
        <v/>
      </c>
      <c r="S25" s="18">
        <f>IF(OR(COUNTIF($D$6:$D$65,"&lt;"&amp;$I25)&lt;$I$5,COUNTIF($D$6:$D$65,"&gt;="&amp;$I25)&lt;$I$6,(MAX($D$6:$D$65)-$I25)/(MAX($D$6:$D$65)-MIN($D$6:$D$65))&lt;$I$7),"",SUMPRODUCT($B$6:$B$65*(((SUMPRODUCT($B$6:$B$65*$AB$6:$AB$65*EXP(-S$15*((($AA$6:$AA$65-$I25)&gt;0)*($AA$6:$AA$65-$I25))))/SUMPRODUCT($B$6:$B$65*EXP(-S$15*((($AA$6:$AA$65-$I25)&gt;0)*($AA$6:$AA$65-$I25)))*EXP(-S$15*((($AA$6:$AA$65-$I25)&gt;0)*($AA$6:$AA$65-$I25))))))*EXP(-S$15*((($AA$6:$AA$65-$I25)&gt;0)*($AA$6:$AA$65-$I25)))-$AB$6:$AB$65)^2))</f>
        <v/>
      </c>
      <c r="T25" s="18">
        <f>IF(OR(COUNTIF($D$6:$D$65,"&lt;"&amp;$I25)&lt;$I$5,COUNTIF($D$6:$D$65,"&gt;="&amp;$I25)&lt;$I$6,(MAX($D$6:$D$65)-$I25)/(MAX($D$6:$D$65)-MIN($D$6:$D$65))&lt;$I$7),"",SUMPRODUCT($B$6:$B$65*(((SUMPRODUCT($B$6:$B$65*$AB$6:$AB$65*EXP(-T$15*((($AA$6:$AA$65-$I25)&gt;0)*($AA$6:$AA$65-$I25))))/SUMPRODUCT($B$6:$B$65*EXP(-T$15*((($AA$6:$AA$65-$I25)&gt;0)*($AA$6:$AA$65-$I25)))*EXP(-T$15*((($AA$6:$AA$65-$I25)&gt;0)*($AA$6:$AA$65-$I25))))))*EXP(-T$15*((($AA$6:$AA$65-$I25)&gt;0)*($AA$6:$AA$65-$I25)))-$AB$6:$AB$65)^2))</f>
        <v/>
      </c>
      <c r="U25" s="18">
        <f>IF(OR(COUNTIF($D$6:$D$65,"&lt;"&amp;$I25)&lt;$I$5,COUNTIF($D$6:$D$65,"&gt;="&amp;$I25)&lt;$I$6,(MAX($D$6:$D$65)-$I25)/(MAX($D$6:$D$65)-MIN($D$6:$D$65))&lt;$I$7),"",SUMPRODUCT($B$6:$B$65*(((SUMPRODUCT($B$6:$B$65*$AB$6:$AB$65*EXP(-U$15*((($AA$6:$AA$65-$I25)&gt;0)*($AA$6:$AA$65-$I25))))/SUMPRODUCT($B$6:$B$65*EXP(-U$15*((($AA$6:$AA$65-$I25)&gt;0)*($AA$6:$AA$65-$I25)))*EXP(-U$15*((($AA$6:$AA$65-$I25)&gt;0)*($AA$6:$AA$65-$I25))))))*EXP(-U$15*((($AA$6:$AA$65-$I25)&gt;0)*($AA$6:$AA$65-$I25)))-$AB$6:$AB$65)^2))</f>
        <v/>
      </c>
      <c r="V25" s="18">
        <f>IF(COUNT(J25:U25)=0,"",MIN(J25:U25))</f>
        <v/>
      </c>
      <c r="W25" s="6">
        <f>IF(COUNT(J25:U25)=0,"",MATCH(V25,J25:U25,0))</f>
        <v/>
      </c>
      <c r="AA25" s="12">
        <f>IF(ISNUMBER(D25),D25,0)</f>
        <v/>
      </c>
      <c r="AB25" s="13">
        <f>IF(ISNUMBER(E25),E25,0)</f>
        <v/>
      </c>
    </row>
    <row r="26">
      <c r="A26" s="6" t="n">
        <v>21</v>
      </c>
      <c r="B26" s="32" t="n"/>
      <c r="C26" s="33" t="n"/>
      <c r="D26" s="10">
        <f>IF(AND(F26&gt;0,B26&gt;0),SUM($B$6:B26)/F26,"")</f>
        <v/>
      </c>
      <c r="E26" s="11">
        <f>IF(B26&gt;0,C26/B26,"")</f>
        <v/>
      </c>
      <c r="F26" s="32" t="n"/>
      <c r="AA26" s="12">
        <f>IF(ISNUMBER(D26),D26,0)</f>
        <v/>
      </c>
      <c r="AB26" s="13">
        <f>IF(ISNUMBER(E26),E26,0)</f>
        <v/>
      </c>
    </row>
    <row r="27">
      <c r="A27" s="6" t="n">
        <v>22</v>
      </c>
      <c r="B27" s="32" t="n"/>
      <c r="C27" s="33" t="n"/>
      <c r="D27" s="10">
        <f>IF(AND(F27&gt;0,B27&gt;0),SUM($B$6:B27)/F27,"")</f>
        <v/>
      </c>
      <c r="E27" s="11">
        <f>IF(B27&gt;0,C27/B27,"")</f>
        <v/>
      </c>
      <c r="F27" s="32" t="n"/>
      <c r="H27" s="4" t="inlineStr">
        <is>
          <t>What the grid says</t>
        </is>
      </c>
      <c r="AA27" s="12">
        <f>IF(ISNUMBER(D27),D27,0)</f>
        <v/>
      </c>
      <c r="AB27" s="13">
        <f>IF(ISNUMBER(E27),E27,0)</f>
        <v/>
      </c>
    </row>
    <row r="28">
      <c r="A28" s="6" t="n">
        <v>23</v>
      </c>
      <c r="B28" s="32" t="n"/>
      <c r="C28" s="33" t="n"/>
      <c r="D28" s="10">
        <f>IF(AND(F28&gt;0,B28&gt;0),SUM($B$6:B28)/F28,"")</f>
        <v/>
      </c>
      <c r="E28" s="11">
        <f>IF(B28&gt;0,C28/B28,"")</f>
        <v/>
      </c>
      <c r="F28" s="32" t="n"/>
      <c r="H28" s="6" t="inlineStr">
        <is>
          <t>Days with data</t>
        </is>
      </c>
      <c r="I28" s="19">
        <f>COUNTIF($B$6:$B$65,"&gt;0")</f>
        <v/>
      </c>
      <c r="AA28" s="12">
        <f>IF(ISNUMBER(D28),D28,0)</f>
        <v/>
      </c>
      <c r="AB28" s="13">
        <f>IF(ISNUMBER(E28),E28,0)</f>
        <v/>
      </c>
    </row>
    <row r="29">
      <c r="A29" s="6" t="n">
        <v>24</v>
      </c>
      <c r="B29" s="32" t="n"/>
      <c r="C29" s="33" t="n"/>
      <c r="D29" s="10">
        <f>IF(AND(F29&gt;0,B29&gt;0),SUM($B$6:B29)/F29,"")</f>
        <v/>
      </c>
      <c r="E29" s="11">
        <f>IF(B29&gt;0,C29/B29,"")</f>
        <v/>
      </c>
      <c r="F29" s="32" t="n"/>
      <c r="H29" s="6" t="inlineStr">
        <is>
          <t>Exposure moved by (impressions per person)</t>
        </is>
      </c>
      <c r="I29" s="20">
        <f>IF($I$28=0,"",MAX($D$6:$D$65)-MIN($D$6:$D$65))</f>
        <v/>
      </c>
      <c r="AA29" s="12">
        <f>IF(ISNUMBER(D29),D29,0)</f>
        <v/>
      </c>
      <c r="AB29" s="13">
        <f>IF(ISNUMBER(E29),E29,0)</f>
        <v/>
      </c>
    </row>
    <row r="30">
      <c r="A30" s="6" t="n">
        <v>25</v>
      </c>
      <c r="B30" s="32" t="n"/>
      <c r="C30" s="33" t="n"/>
      <c r="D30" s="10">
        <f>IF(AND(F30&gt;0,B30&gt;0),SUM($B$6:B30)/F30,"")</f>
        <v/>
      </c>
      <c r="E30" s="11">
        <f>IF(B30&gt;0,C30/B30,"")</f>
        <v/>
      </c>
      <c r="F30" s="32" t="n"/>
      <c r="H30" s="6" t="inlineStr">
        <is>
          <t>Best weighted residual sum of squares</t>
        </is>
      </c>
      <c r="I30" s="21">
        <f>IF(COUNT(V16:V25)=0,"",MIN(V16:V25))</f>
        <v/>
      </c>
      <c r="AA30" s="12">
        <f>IF(ISNUMBER(D30),D30,0)</f>
        <v/>
      </c>
      <c r="AB30" s="13">
        <f>IF(ISNUMBER(E30),E30,0)</f>
        <v/>
      </c>
    </row>
    <row r="31">
      <c r="A31" s="6" t="n">
        <v>26</v>
      </c>
      <c r="B31" s="32" t="n"/>
      <c r="C31" s="33" t="n"/>
      <c r="D31" s="10">
        <f>IF(AND(F31&gt;0,B31&gt;0),SUM($B$6:B31)/F31,"")</f>
        <v/>
      </c>
      <c r="E31" s="11">
        <f>IF(B31&gt;0,C31/B31,"")</f>
        <v/>
      </c>
      <c r="F31" s="32" t="n"/>
      <c r="H31" s="6" t="inlineStr">
        <is>
          <t>Onset (best row)</t>
        </is>
      </c>
      <c r="I31" s="20">
        <f>IF(COUNT(V16:V25)=0,"",INDEX($I$16:$I$25,MATCH($I$30,V16:V25,0)))</f>
        <v/>
      </c>
      <c r="AA31" s="12">
        <f>IF(ISNUMBER(D31),D31,0)</f>
        <v/>
      </c>
      <c r="AB31" s="13">
        <f>IF(ISNUMBER(E31),E31,0)</f>
        <v/>
      </c>
    </row>
    <row r="32">
      <c r="A32" s="6" t="n">
        <v>27</v>
      </c>
      <c r="B32" s="32" t="n"/>
      <c r="C32" s="33" t="n"/>
      <c r="D32" s="10">
        <f>IF(AND(F32&gt;0,B32&gt;0),SUM($B$6:B32)/F32,"")</f>
        <v/>
      </c>
      <c r="E32" s="11">
        <f>IF(B32&gt;0,C32/B32,"")</f>
        <v/>
      </c>
      <c r="F32" s="32" t="n"/>
      <c r="H32" s="6" t="inlineStr">
        <is>
          <t>Decay per impression per person (best column)</t>
        </is>
      </c>
      <c r="I32" s="20">
        <f>IF(COUNT(V16:V25)=0,"",INDEX(J$15:U$15,INDEX(W16:W25,MATCH($I$30,V16:V25,0))))</f>
        <v/>
      </c>
      <c r="AA32" s="12">
        <f>IF(ISNUMBER(D32),D32,0)</f>
        <v/>
      </c>
      <c r="AB32" s="13">
        <f>IF(ISNUMBER(E32),E32,0)</f>
        <v/>
      </c>
    </row>
    <row r="33">
      <c r="A33" s="6" t="n">
        <v>28</v>
      </c>
      <c r="B33" s="32" t="n"/>
      <c r="C33" s="33" t="n"/>
      <c r="D33" s="10">
        <f>IF(AND(F33&gt;0,B33&gt;0),SUM($B$6:B33)/F33,"")</f>
        <v/>
      </c>
      <c r="E33" s="11">
        <f>IF(B33&gt;0,C33/B33,"")</f>
        <v/>
      </c>
      <c r="F33" s="32" t="n"/>
      <c r="H33" s="6" t="inlineStr">
        <is>
          <t>Level at that onset and decay</t>
        </is>
      </c>
      <c r="I33" s="22">
        <f>IF($I$31="","",SUMPRODUCT($B$6:$B$65*$AB$6:$AB$65*EXP(-$I$32*((($AA$6:$AA$65-$I$31)&gt;0)*($AA$6:$AA$65-$I$31))))/SUMPRODUCT($B$6:$B$65*EXP(-$I$32*((($AA$6:$AA$65-$I$31)&gt;0)*($AA$6:$AA$65-$I$31)))*EXP(-$I$32*((($AA$6:$AA$65-$I$31)&gt;0)*($AA$6:$AA$65-$I$31)))))</f>
        <v/>
      </c>
      <c r="AA33" s="12">
        <f>IF(ISNUMBER(D33),D33,0)</f>
        <v/>
      </c>
      <c r="AB33" s="13">
        <f>IF(ISNUMBER(E33),E33,0)</f>
        <v/>
      </c>
    </row>
    <row r="34">
      <c r="A34" s="6" t="n">
        <v>29</v>
      </c>
      <c r="B34" s="32" t="n"/>
      <c r="C34" s="33" t="n"/>
      <c r="D34" s="10">
        <f>IF(AND(F34&gt;0,B34&gt;0),SUM($B$6:B34)/F34,"")</f>
        <v/>
      </c>
      <c r="E34" s="11">
        <f>IF(B34&gt;0,C34/B34,"")</f>
        <v/>
      </c>
      <c r="F34" s="32" t="n"/>
      <c r="H34" s="6" t="inlineStr">
        <is>
          <t>Flat line: the impression-weighted average rate</t>
        </is>
      </c>
      <c r="I34" s="22">
        <f>IF(SUM($B$6:$B$65)&gt;0,SUMPRODUCT($B$6:$B$65*$AB$6:$AB$65)/SUM($B$6:$B$65),"")</f>
        <v/>
      </c>
      <c r="AA34" s="12">
        <f>IF(ISNUMBER(D34),D34,0)</f>
        <v/>
      </c>
      <c r="AB34" s="13">
        <f>IF(ISNUMBER(E34),E34,0)</f>
        <v/>
      </c>
    </row>
    <row r="35">
      <c r="A35" s="6" t="n">
        <v>30</v>
      </c>
      <c r="B35" s="32" t="n"/>
      <c r="C35" s="33" t="n"/>
      <c r="D35" s="10">
        <f>IF(AND(F35&gt;0,B35&gt;0),SUM($B$6:B35)/F35,"")</f>
        <v/>
      </c>
      <c r="E35" s="11">
        <f>IF(B35&gt;0,C35/B35,"")</f>
        <v/>
      </c>
      <c r="F35" s="32" t="n"/>
      <c r="H35" s="6" t="inlineStr">
        <is>
          <t>Flat line: its weighted residual sum of squares</t>
        </is>
      </c>
      <c r="I35" s="21">
        <f>IF(SUM($B$6:$B$65)&gt;0,SUMPRODUCT($B$6:$B$65*($AB$6:$AB$65-$I$34)^2),"")</f>
        <v/>
      </c>
      <c r="AA35" s="12">
        <f>IF(ISNUMBER(D35),D35,0)</f>
        <v/>
      </c>
      <c r="AB35" s="13">
        <f>IF(ISNUMBER(E35),E35,0)</f>
        <v/>
      </c>
    </row>
    <row r="36">
      <c r="A36" s="6" t="n">
        <v>31</v>
      </c>
      <c r="B36" s="32" t="n"/>
      <c r="C36" s="33" t="n"/>
      <c r="D36" s="10">
        <f>IF(AND(F36&gt;0,B36&gt;0),SUM($B$6:B36)/F36,"")</f>
        <v/>
      </c>
      <c r="E36" s="11">
        <f>IF(B36&gt;0,C36/B36,"")</f>
        <v/>
      </c>
      <c r="F36" s="32" t="n"/>
      <c r="H36" s="6" t="inlineStr">
        <is>
          <t>Information criterion, the bend</t>
        </is>
      </c>
      <c r="I36" s="23">
        <f>IF($I$30="","",$I$28*LN($I$30/$I$28)+3*LN($I$28))</f>
        <v/>
      </c>
      <c r="AA36" s="12">
        <f>IF(ISNUMBER(D36),D36,0)</f>
        <v/>
      </c>
      <c r="AB36" s="13">
        <f>IF(ISNUMBER(E36),E36,0)</f>
        <v/>
      </c>
    </row>
    <row r="37">
      <c r="A37" s="6" t="n">
        <v>32</v>
      </c>
      <c r="B37" s="32" t="n"/>
      <c r="C37" s="33" t="n"/>
      <c r="D37" s="10">
        <f>IF(AND(F37&gt;0,B37&gt;0),SUM($B$6:B37)/F37,"")</f>
        <v/>
      </c>
      <c r="E37" s="11">
        <f>IF(B37&gt;0,C37/B37,"")</f>
        <v/>
      </c>
      <c r="F37" s="32" t="n"/>
      <c r="H37" s="6" t="inlineStr">
        <is>
          <t>Information criterion, the flat line</t>
        </is>
      </c>
      <c r="I37" s="23">
        <f>$I$28*LN($I$35/$I$28)+1*LN($I$28)</f>
        <v/>
      </c>
      <c r="AA37" s="12">
        <f>IF(ISNUMBER(D37),D37,0)</f>
        <v/>
      </c>
      <c r="AB37" s="13">
        <f>IF(ISNUMBER(E37),E37,0)</f>
        <v/>
      </c>
    </row>
    <row r="38">
      <c r="A38" s="6" t="n">
        <v>33</v>
      </c>
      <c r="B38" s="32" t="n"/>
      <c r="C38" s="33" t="n"/>
      <c r="D38" s="10">
        <f>IF(AND(F38&gt;0,B38&gt;0),SUM($B$6:B38)/F38,"")</f>
        <v/>
      </c>
      <c r="E38" s="11">
        <f>IF(B38&gt;0,C38/B38,"")</f>
        <v/>
      </c>
      <c r="F38" s="32" t="n"/>
      <c r="H38" s="6" t="inlineStr">
        <is>
          <t>Bend identified?</t>
        </is>
      </c>
      <c r="I38" s="24">
        <f>IF(OR($I$30="",$I$29&lt;$I$8),FALSE,$I$36+$I$9&lt;$I$37)</f>
        <v/>
      </c>
      <c r="AA38" s="12">
        <f>IF(ISNUMBER(D38),D38,0)</f>
        <v/>
      </c>
      <c r="AB38" s="13">
        <f>IF(ISNUMBER(E38),E38,0)</f>
        <v/>
      </c>
    </row>
    <row r="39">
      <c r="A39" s="6" t="n">
        <v>34</v>
      </c>
      <c r="B39" s="32" t="n"/>
      <c r="C39" s="33" t="n"/>
      <c r="D39" s="10">
        <f>IF(AND(F39&gt;0,B39&gt;0),SUM($B$6:B39)/F39,"")</f>
        <v/>
      </c>
      <c r="E39" s="11">
        <f>IF(B39&gt;0,C39/B39,"")</f>
        <v/>
      </c>
      <c r="F39" s="32" t="n"/>
      <c r="H39" s="6" t="inlineStr">
        <is>
          <t>Lost so far, at the last day's exposure</t>
        </is>
      </c>
      <c r="I39" s="25">
        <f>IF($I$38,1-EXP(-$I$32*MAX(INDEX($D$6:$D$65,$I$28)-$I$31,0)),"")</f>
        <v/>
      </c>
      <c r="AA39" s="12">
        <f>IF(ISNUMBER(D39),D39,0)</f>
        <v/>
      </c>
      <c r="AB39" s="13">
        <f>IF(ISNUMBER(E39),E39,0)</f>
        <v/>
      </c>
    </row>
    <row r="40">
      <c r="A40" s="6" t="n">
        <v>35</v>
      </c>
      <c r="B40" s="32" t="n"/>
      <c r="C40" s="33" t="n"/>
      <c r="D40" s="10">
        <f>IF(AND(F40&gt;0,B40&gt;0),SUM($B$6:B40)/F40,"")</f>
        <v/>
      </c>
      <c r="E40" s="11">
        <f>IF(B40&gt;0,C40/B40,"")</f>
        <v/>
      </c>
      <c r="F40" s="32" t="n"/>
      <c r="AA40" s="12">
        <f>IF(ISNUMBER(D40),D40,0)</f>
        <v/>
      </c>
      <c r="AB40" s="13">
        <f>IF(ISNUMBER(E40),E40,0)</f>
        <v/>
      </c>
    </row>
    <row r="41">
      <c r="A41" s="6" t="n">
        <v>36</v>
      </c>
      <c r="B41" s="32" t="n"/>
      <c r="C41" s="33" t="n"/>
      <c r="D41" s="10">
        <f>IF(AND(F41&gt;0,B41&gt;0),SUM($B$6:B41)/F41,"")</f>
        <v/>
      </c>
      <c r="E41" s="11">
        <f>IF(B41&gt;0,C41/B41,"")</f>
        <v/>
      </c>
      <c r="F41" s="32" t="n"/>
      <c r="AA41" s="12">
        <f>IF(ISNUMBER(D41),D41,0)</f>
        <v/>
      </c>
      <c r="AB41" s="13">
        <f>IF(ISNUMBER(E41),E41,0)</f>
        <v/>
      </c>
    </row>
    <row r="42">
      <c r="A42" s="6" t="n">
        <v>37</v>
      </c>
      <c r="B42" s="32" t="n"/>
      <c r="C42" s="33" t="n"/>
      <c r="D42" s="10">
        <f>IF(AND(F42&gt;0,B42&gt;0),SUM($B$6:B42)/F42,"")</f>
        <v/>
      </c>
      <c r="E42" s="11">
        <f>IF(B42&gt;0,C42/B42,"")</f>
        <v/>
      </c>
      <c r="F42" s="32" t="n"/>
      <c r="H42" s="4" t="inlineStr">
        <is>
          <t>The fallback rung: two calendar windows, the no-change range</t>
        </is>
      </c>
      <c r="AA42" s="12">
        <f>IF(ISNUMBER(D42),D42,0)</f>
        <v/>
      </c>
      <c r="AB42" s="13">
        <f>IF(ISNUMBER(E42),E42,0)</f>
        <v/>
      </c>
    </row>
    <row r="43">
      <c r="A43" s="6" t="n">
        <v>38</v>
      </c>
      <c r="B43" s="32" t="n"/>
      <c r="C43" s="33" t="n"/>
      <c r="D43" s="10">
        <f>IF(AND(F43&gt;0,B43&gt;0),SUM($B$6:B43)/F43,"")</f>
        <v/>
      </c>
      <c r="E43" s="11">
        <f>IF(B43&gt;0,C43/B43,"")</f>
        <v/>
      </c>
      <c r="F43" s="32" t="n"/>
      <c r="H43" s="6" t="inlineStr">
        <is>
          <t>Baseline impressions (days 8 to 21)</t>
        </is>
      </c>
      <c r="I43" s="26">
        <f>SUM(B13:B26)</f>
        <v/>
      </c>
      <c r="AA43" s="12">
        <f>IF(ISNUMBER(D43),D43,0)</f>
        <v/>
      </c>
      <c r="AB43" s="13">
        <f>IF(ISNUMBER(E43),E43,0)</f>
        <v/>
      </c>
    </row>
    <row r="44">
      <c r="A44" s="6" t="n">
        <v>39</v>
      </c>
      <c r="B44" s="32" t="n"/>
      <c r="C44" s="33" t="n"/>
      <c r="D44" s="10">
        <f>IF(AND(F44&gt;0,B44&gt;0),SUM($B$6:B44)/F44,"")</f>
        <v/>
      </c>
      <c r="E44" s="11">
        <f>IF(B44&gt;0,C44/B44,"")</f>
        <v/>
      </c>
      <c r="F44" s="32" t="n"/>
      <c r="H44" s="6" t="inlineStr">
        <is>
          <t>Baseline clicks</t>
        </is>
      </c>
      <c r="I44" s="26">
        <f>SUM(C13:C26)</f>
        <v/>
      </c>
      <c r="AA44" s="12">
        <f>IF(ISNUMBER(D44),D44,0)</f>
        <v/>
      </c>
      <c r="AB44" s="13">
        <f>IF(ISNUMBER(E44),E44,0)</f>
        <v/>
      </c>
    </row>
    <row r="45">
      <c r="A45" s="6" t="n">
        <v>40</v>
      </c>
      <c r="B45" s="32" t="n"/>
      <c r="C45" s="33" t="n"/>
      <c r="D45" s="10">
        <f>IF(AND(F45&gt;0,B45&gt;0),SUM($B$6:B45)/F45,"")</f>
        <v/>
      </c>
      <c r="E45" s="11">
        <f>IF(B45&gt;0,C45/B45,"")</f>
        <v/>
      </c>
      <c r="F45" s="32" t="n"/>
      <c r="H45" s="6" t="inlineStr">
        <is>
          <t>Impressions, last 7 days pasted</t>
        </is>
      </c>
      <c r="I45" s="26">
        <f>SUMPRODUCT(($A$6:$A$65&gt;$I$28-7)*($A$6:$A$65&lt;=$I$28)*$B$6:$B$65)</f>
        <v/>
      </c>
      <c r="AA45" s="12">
        <f>IF(ISNUMBER(D45),D45,0)</f>
        <v/>
      </c>
      <c r="AB45" s="13">
        <f>IF(ISNUMBER(E45),E45,0)</f>
        <v/>
      </c>
    </row>
    <row r="46">
      <c r="A46" s="6" t="n">
        <v>41</v>
      </c>
      <c r="B46" s="32" t="n"/>
      <c r="C46" s="33" t="n"/>
      <c r="D46" s="10">
        <f>IF(AND(F46&gt;0,B46&gt;0),SUM($B$6:B46)/F46,"")</f>
        <v/>
      </c>
      <c r="E46" s="11">
        <f>IF(B46&gt;0,C46/B46,"")</f>
        <v/>
      </c>
      <c r="F46" s="32" t="n"/>
      <c r="H46" s="6" t="inlineStr">
        <is>
          <t>Clicks, last week</t>
        </is>
      </c>
      <c r="I46" s="26">
        <f>SUMPRODUCT(($A$6:$A$65&gt;$I$28-7)*($A$6:$A$65&lt;=$I$28)*$C$6:$C$65)</f>
        <v/>
      </c>
      <c r="AA46" s="12">
        <f>IF(ISNUMBER(D46),D46,0)</f>
        <v/>
      </c>
      <c r="AB46" s="13">
        <f>IF(ISNUMBER(E46),E46,0)</f>
        <v/>
      </c>
    </row>
    <row r="47">
      <c r="A47" s="6" t="n">
        <v>42</v>
      </c>
      <c r="B47" s="32" t="n"/>
      <c r="C47" s="33" t="n"/>
      <c r="D47" s="10">
        <f>IF(AND(F47&gt;0,B47&gt;0),SUM($B$6:B47)/F47,"")</f>
        <v/>
      </c>
      <c r="E47" s="11">
        <f>IF(B47&gt;0,C47/B47,"")</f>
        <v/>
      </c>
      <c r="F47" s="32" t="n"/>
      <c r="H47" s="6" t="inlineStr">
        <is>
          <t>Baseline click-through rate</t>
        </is>
      </c>
      <c r="I47" s="22">
        <f>IF($I$43&gt;0,$I$44/$I$43,"")</f>
        <v/>
      </c>
      <c r="AA47" s="12">
        <f>IF(ISNUMBER(D47),D47,0)</f>
        <v/>
      </c>
      <c r="AB47" s="13">
        <f>IF(ISNUMBER(E47),E47,0)</f>
        <v/>
      </c>
    </row>
    <row r="48">
      <c r="A48" s="6" t="n">
        <v>43</v>
      </c>
      <c r="B48" s="32" t="n"/>
      <c r="C48" s="33" t="n"/>
      <c r="D48" s="10">
        <f>IF(AND(F48&gt;0,B48&gt;0),SUM($B$6:B48)/F48,"")</f>
        <v/>
      </c>
      <c r="E48" s="11">
        <f>IF(B48&gt;0,C48/B48,"")</f>
        <v/>
      </c>
      <c r="F48" s="32" t="n"/>
      <c r="H48" s="6" t="inlineStr">
        <is>
          <t>Click-through rate, last week</t>
        </is>
      </c>
      <c r="I48" s="22">
        <f>IF($I$45&gt;0,$I$46/$I$45,"")</f>
        <v/>
      </c>
      <c r="AA48" s="12">
        <f>IF(ISNUMBER(D48),D48,0)</f>
        <v/>
      </c>
      <c r="AB48" s="13">
        <f>IF(ISNUMBER(E48),E48,0)</f>
        <v/>
      </c>
    </row>
    <row r="49">
      <c r="A49" s="6" t="n">
        <v>44</v>
      </c>
      <c r="B49" s="32" t="n"/>
      <c r="C49" s="33" t="n"/>
      <c r="D49" s="10">
        <f>IF(AND(F49&gt;0,B49&gt;0),SUM($B$6:B49)/F49,"")</f>
        <v/>
      </c>
      <c r="E49" s="11">
        <f>IF(B49&gt;0,C49/B49,"")</f>
        <v/>
      </c>
      <c r="F49" s="32" t="n"/>
      <c r="H49" s="6" t="inlineStr">
        <is>
          <t>Drop, in percent of the baseline</t>
        </is>
      </c>
      <c r="I49" s="25">
        <f>IF($I$47&gt;0,($I$47-$I$48)/$I$47,"")</f>
        <v/>
      </c>
      <c r="AA49" s="12">
        <f>IF(ISNUMBER(D49),D49,0)</f>
        <v/>
      </c>
      <c r="AB49" s="13">
        <f>IF(ISNUMBER(E49),E49,0)</f>
        <v/>
      </c>
    </row>
    <row r="50">
      <c r="A50" s="6" t="n">
        <v>45</v>
      </c>
      <c r="B50" s="32" t="n"/>
      <c r="C50" s="33" t="n"/>
      <c r="D50" s="10">
        <f>IF(AND(F50&gt;0,B50&gt;0),SUM($B$6:B50)/F50,"")</f>
        <v/>
      </c>
      <c r="E50" s="11">
        <f>IF(B50&gt;0,C50/B50,"")</f>
        <v/>
      </c>
      <c r="F50" s="32" t="n"/>
      <c r="H50" s="6" t="inlineStr">
        <is>
          <t>Standard error of the difference</t>
        </is>
      </c>
      <c r="I50" s="27">
        <f>IF(AND($I$43&gt;0,$I$45&gt;0),SQRT($I$47*(1-$I$47)/$I$43+$I$48*(1-$I$48)/$I$45),"")</f>
        <v/>
      </c>
      <c r="AA50" s="12">
        <f>IF(ISNUMBER(D50),D50,0)</f>
        <v/>
      </c>
      <c r="AB50" s="13">
        <f>IF(ISNUMBER(E50),E50,0)</f>
        <v/>
      </c>
    </row>
    <row r="51">
      <c r="A51" s="6" t="n">
        <v>46</v>
      </c>
      <c r="B51" s="32" t="n"/>
      <c r="C51" s="33" t="n"/>
      <c r="D51" s="10">
        <f>IF(AND(F51&gt;0,B51&gt;0),SUM($B$6:B51)/F51,"")</f>
        <v/>
      </c>
      <c r="E51" s="11">
        <f>IF(B51&gt;0,C51/B51,"")</f>
        <v/>
      </c>
      <c r="F51" s="32" t="n"/>
      <c r="H51" s="6" t="inlineStr">
        <is>
          <t>Drop, in standard errors (the z)</t>
        </is>
      </c>
      <c r="I51" s="23">
        <f>IF($I$50&gt;0,($I$47-$I$48)/$I$50,"")</f>
        <v/>
      </c>
      <c r="AA51" s="12">
        <f>IF(ISNUMBER(D51),D51,0)</f>
        <v/>
      </c>
      <c r="AB51" s="13">
        <f>IF(ISNUMBER(E51),E51,0)</f>
        <v/>
      </c>
    </row>
    <row r="52">
      <c r="A52" s="6" t="n">
        <v>47</v>
      </c>
      <c r="B52" s="32" t="n"/>
      <c r="C52" s="33" t="n"/>
      <c r="D52" s="10">
        <f>IF(AND(F52&gt;0,B52&gt;0),SUM($B$6:B52)/F52,"")</f>
        <v/>
      </c>
      <c r="E52" s="11">
        <f>IF(B52&gt;0,C52/B52,"")</f>
        <v/>
      </c>
      <c r="F52" s="32" t="n"/>
      <c r="AA52" s="12">
        <f>IF(ISNUMBER(D52),D52,0)</f>
        <v/>
      </c>
      <c r="AB52" s="13">
        <f>IF(ISNUMBER(E52),E52,0)</f>
        <v/>
      </c>
    </row>
    <row r="53">
      <c r="A53" s="6" t="n">
        <v>48</v>
      </c>
      <c r="B53" s="32" t="n"/>
      <c r="C53" s="33" t="n"/>
      <c r="D53" s="10">
        <f>IF(AND(F53&gt;0,B53&gt;0),SUM($B$6:B53)/F53,"")</f>
        <v/>
      </c>
      <c r="E53" s="11">
        <f>IF(B53&gt;0,C53/B53,"")</f>
        <v/>
      </c>
      <c r="F53" s="32" t="n"/>
      <c r="H53" s="4" t="inlineStr">
        <is>
          <t>Exposure rise across the last week</t>
        </is>
      </c>
      <c r="J53" s="3" t="inlineStr">
        <is>
          <t>Every pairwise slope of the last week's exposure (blank where not forward in time)</t>
        </is>
      </c>
      <c r="AA53" s="12">
        <f>IF(ISNUMBER(D53),D53,0)</f>
        <v/>
      </c>
      <c r="AB53" s="13">
        <f>IF(ISNUMBER(E53),E53,0)</f>
        <v/>
      </c>
    </row>
    <row r="54">
      <c r="A54" s="6" t="n">
        <v>49</v>
      </c>
      <c r="B54" s="32" t="n"/>
      <c r="C54" s="33" t="n"/>
      <c r="D54" s="10">
        <f>IF(AND(F54&gt;0,B54&gt;0),SUM($B$6:B54)/F54,"")</f>
        <v/>
      </c>
      <c r="E54" s="11">
        <f>IF(B54&gt;0,C54/B54,"")</f>
        <v/>
      </c>
      <c r="F54" s="32" t="n"/>
      <c r="H54" s="6" t="inlineStr">
        <is>
          <t>Trend, median of every pairwise slope</t>
        </is>
      </c>
      <c r="I54" s="28">
        <f>IF(COUNT(J54:P60)=0,"",MEDIAN(J54:P60))</f>
        <v/>
      </c>
      <c r="J54" s="29">
        <f>""</f>
        <v/>
      </c>
      <c r="K54" s="29">
        <f>IF($I$28&lt;7,"",IFERROR((INDEX($D$6:$D$65,$I$28-5)-INDEX($D$6:$D$65,$I$28-6))/1,""))</f>
        <v/>
      </c>
      <c r="L54" s="29">
        <f>IF($I$28&lt;7,"",IFERROR((INDEX($D$6:$D$65,$I$28-4)-INDEX($D$6:$D$65,$I$28-6))/2,""))</f>
        <v/>
      </c>
      <c r="M54" s="29">
        <f>IF($I$28&lt;7,"",IFERROR((INDEX($D$6:$D$65,$I$28-3)-INDEX($D$6:$D$65,$I$28-6))/3,""))</f>
        <v/>
      </c>
      <c r="N54" s="29">
        <f>IF($I$28&lt;7,"",IFERROR((INDEX($D$6:$D$65,$I$28-2)-INDEX($D$6:$D$65,$I$28-6))/4,""))</f>
        <v/>
      </c>
      <c r="O54" s="29">
        <f>IF($I$28&lt;7,"",IFERROR((INDEX($D$6:$D$65,$I$28-1)-INDEX($D$6:$D$65,$I$28-6))/5,""))</f>
        <v/>
      </c>
      <c r="P54" s="29">
        <f>IF($I$28&lt;7,"",IFERROR((INDEX($D$6:$D$65,$I$28-0)-INDEX($D$6:$D$65,$I$28-6))/6,""))</f>
        <v/>
      </c>
      <c r="AA54" s="12">
        <f>IF(ISNUMBER(D54),D54,0)</f>
        <v/>
      </c>
      <c r="AB54" s="13">
        <f>IF(ISNUMBER(E54),E54,0)</f>
        <v/>
      </c>
    </row>
    <row r="55">
      <c r="A55" s="6" t="n">
        <v>50</v>
      </c>
      <c r="B55" s="32" t="n"/>
      <c r="C55" s="33" t="n"/>
      <c r="D55" s="10">
        <f>IF(AND(F55&gt;0,B55&gt;0),SUM($B$6:B55)/F55,"")</f>
        <v/>
      </c>
      <c r="E55" s="11">
        <f>IF(B55&gt;0,C55/B55,"")</f>
        <v/>
      </c>
      <c r="F55" s="32" t="n"/>
      <c r="H55" s="6" t="inlineStr">
        <is>
          <t>Average exposure across the week</t>
        </is>
      </c>
      <c r="I55" s="20">
        <f>IF(COUNT(J54:P60)=0,"",SUMPRODUCT(($A$6:$A$65&gt;$I$28-7)*($A$6:$A$65&lt;=$I$28)*$AA$6:$AA$65)/7)</f>
        <v/>
      </c>
      <c r="J55" s="29">
        <f>""</f>
        <v/>
      </c>
      <c r="K55" s="29">
        <f>""</f>
        <v/>
      </c>
      <c r="L55" s="29">
        <f>IF($I$28&lt;7,"",IFERROR((INDEX($D$6:$D$65,$I$28-4)-INDEX($D$6:$D$65,$I$28-5))/1,""))</f>
        <v/>
      </c>
      <c r="M55" s="29">
        <f>IF($I$28&lt;7,"",IFERROR((INDEX($D$6:$D$65,$I$28-3)-INDEX($D$6:$D$65,$I$28-5))/2,""))</f>
        <v/>
      </c>
      <c r="N55" s="29">
        <f>IF($I$28&lt;7,"",IFERROR((INDEX($D$6:$D$65,$I$28-2)-INDEX($D$6:$D$65,$I$28-5))/3,""))</f>
        <v/>
      </c>
      <c r="O55" s="29">
        <f>IF($I$28&lt;7,"",IFERROR((INDEX($D$6:$D$65,$I$28-1)-INDEX($D$6:$D$65,$I$28-5))/4,""))</f>
        <v/>
      </c>
      <c r="P55" s="29">
        <f>IF($I$28&lt;7,"",IFERROR((INDEX($D$6:$D$65,$I$28-0)-INDEX($D$6:$D$65,$I$28-5))/5,""))</f>
        <v/>
      </c>
      <c r="AA55" s="12">
        <f>IF(ISNUMBER(D55),D55,0)</f>
        <v/>
      </c>
      <c r="AB55" s="13">
        <f>IF(ISNUMBER(E55),E55,0)</f>
        <v/>
      </c>
    </row>
    <row r="56">
      <c r="A56" s="6" t="n">
        <v>51</v>
      </c>
      <c r="B56" s="32" t="n"/>
      <c r="C56" s="33" t="n"/>
      <c r="D56" s="10">
        <f>IF(AND(F56&gt;0,B56&gt;0),SUM($B$6:B56)/F56,"")</f>
        <v/>
      </c>
      <c r="E56" s="11">
        <f>IF(B56&gt;0,C56/B56,"")</f>
        <v/>
      </c>
      <c r="F56" s="32" t="n"/>
      <c r="H56" s="6" t="inlineStr">
        <is>
          <t>Rise across the week, as a share of that average</t>
        </is>
      </c>
      <c r="I56" s="25">
        <f>IF(N($I$55)&gt;0,$I$54*6/$I$55,"")</f>
        <v/>
      </c>
      <c r="J56" s="29">
        <f>""</f>
        <v/>
      </c>
      <c r="K56" s="29">
        <f>""</f>
        <v/>
      </c>
      <c r="L56" s="29">
        <f>""</f>
        <v/>
      </c>
      <c r="M56" s="29">
        <f>IF($I$28&lt;7,"",IFERROR((INDEX($D$6:$D$65,$I$28-3)-INDEX($D$6:$D$65,$I$28-4))/1,""))</f>
        <v/>
      </c>
      <c r="N56" s="29">
        <f>IF($I$28&lt;7,"",IFERROR((INDEX($D$6:$D$65,$I$28-2)-INDEX($D$6:$D$65,$I$28-4))/2,""))</f>
        <v/>
      </c>
      <c r="O56" s="29">
        <f>IF($I$28&lt;7,"",IFERROR((INDEX($D$6:$D$65,$I$28-1)-INDEX($D$6:$D$65,$I$28-4))/3,""))</f>
        <v/>
      </c>
      <c r="P56" s="29">
        <f>IF($I$28&lt;7,"",IFERROR((INDEX($D$6:$D$65,$I$28-0)-INDEX($D$6:$D$65,$I$28-4))/4,""))</f>
        <v/>
      </c>
      <c r="AA56" s="12">
        <f>IF(ISNUMBER(D56),D56,0)</f>
        <v/>
      </c>
      <c r="AB56" s="13">
        <f>IF(ISNUMBER(E56),E56,0)</f>
        <v/>
      </c>
    </row>
    <row r="57">
      <c r="A57" s="6" t="n">
        <v>52</v>
      </c>
      <c r="B57" s="32" t="n"/>
      <c r="C57" s="33" t="n"/>
      <c r="D57" s="10">
        <f>IF(AND(F57&gt;0,B57&gt;0),SUM($B$6:B57)/F57,"")</f>
        <v/>
      </c>
      <c r="E57" s="11">
        <f>IF(B57&gt;0,C57/B57,"")</f>
        <v/>
      </c>
      <c r="F57" s="32" t="n"/>
      <c r="J57" s="29">
        <f>""</f>
        <v/>
      </c>
      <c r="K57" s="29">
        <f>""</f>
        <v/>
      </c>
      <c r="L57" s="29">
        <f>""</f>
        <v/>
      </c>
      <c r="M57" s="29">
        <f>""</f>
        <v/>
      </c>
      <c r="N57" s="29">
        <f>IF($I$28&lt;7,"",IFERROR((INDEX($D$6:$D$65,$I$28-2)-INDEX($D$6:$D$65,$I$28-3))/1,""))</f>
        <v/>
      </c>
      <c r="O57" s="29">
        <f>IF($I$28&lt;7,"",IFERROR((INDEX($D$6:$D$65,$I$28-1)-INDEX($D$6:$D$65,$I$28-3))/2,""))</f>
        <v/>
      </c>
      <c r="P57" s="29">
        <f>IF($I$28&lt;7,"",IFERROR((INDEX($D$6:$D$65,$I$28-0)-INDEX($D$6:$D$65,$I$28-3))/3,""))</f>
        <v/>
      </c>
      <c r="AA57" s="12">
        <f>IF(ISNUMBER(D57),D57,0)</f>
        <v/>
      </c>
      <c r="AB57" s="13">
        <f>IF(ISNUMBER(E57),E57,0)</f>
        <v/>
      </c>
    </row>
    <row r="58">
      <c r="A58" s="6" t="n">
        <v>53</v>
      </c>
      <c r="B58" s="32" t="n"/>
      <c r="C58" s="33" t="n"/>
      <c r="D58" s="10">
        <f>IF(AND(F58&gt;0,B58&gt;0),SUM($B$6:B58)/F58,"")</f>
        <v/>
      </c>
      <c r="E58" s="11">
        <f>IF(B58&gt;0,C58/B58,"")</f>
        <v/>
      </c>
      <c r="F58" s="32" t="n"/>
      <c r="H58" s="4" t="inlineStr">
        <is>
          <t>The fallback rung's thresholds</t>
        </is>
      </c>
      <c r="J58" s="29">
        <f>""</f>
        <v/>
      </c>
      <c r="K58" s="29">
        <f>""</f>
        <v/>
      </c>
      <c r="L58" s="29">
        <f>""</f>
        <v/>
      </c>
      <c r="M58" s="29">
        <f>""</f>
        <v/>
      </c>
      <c r="N58" s="29">
        <f>""</f>
        <v/>
      </c>
      <c r="O58" s="29">
        <f>IF($I$28&lt;7,"",IFERROR((INDEX($D$6:$D$65,$I$28-1)-INDEX($D$6:$D$65,$I$28-2))/1,""))</f>
        <v/>
      </c>
      <c r="P58" s="29">
        <f>IF($I$28&lt;7,"",IFERROR((INDEX($D$6:$D$65,$I$28-0)-INDEX($D$6:$D$65,$I$28-2))/2,""))</f>
        <v/>
      </c>
      <c r="AA58" s="12">
        <f>IF(ISNUMBER(D58),D58,0)</f>
        <v/>
      </c>
      <c r="AB58" s="13">
        <f>IF(ISNUMBER(E58),E58,0)</f>
        <v/>
      </c>
    </row>
    <row r="59">
      <c r="A59" s="6" t="n">
        <v>54</v>
      </c>
      <c r="B59" s="32" t="n"/>
      <c r="C59" s="33" t="n"/>
      <c r="D59" s="10">
        <f>IF(AND(F59&gt;0,B59&gt;0),SUM($B$6:B59)/F59,"")</f>
        <v/>
      </c>
      <c r="E59" s="11">
        <f>IF(B59&gt;0,C59/B59,"")</f>
        <v/>
      </c>
      <c r="F59" s="32" t="n"/>
      <c r="H59" s="6" t="inlineStr">
        <is>
          <t>A drop must clear this many standard errors</t>
        </is>
      </c>
      <c r="I59" s="16" t="n">
        <v>2</v>
      </c>
      <c r="J59" s="29">
        <f>""</f>
        <v/>
      </c>
      <c r="K59" s="29">
        <f>""</f>
        <v/>
      </c>
      <c r="L59" s="29">
        <f>""</f>
        <v/>
      </c>
      <c r="M59" s="29">
        <f>""</f>
        <v/>
      </c>
      <c r="N59" s="29">
        <f>""</f>
        <v/>
      </c>
      <c r="O59" s="29">
        <f>""</f>
        <v/>
      </c>
      <c r="P59" s="29">
        <f>IF($I$28&lt;7,"",IFERROR((INDEX($D$6:$D$65,$I$28-0)-INDEX($D$6:$D$65,$I$28-1))/1,""))</f>
        <v/>
      </c>
      <c r="AA59" s="12">
        <f>IF(ISNUMBER(D59),D59,0)</f>
        <v/>
      </c>
      <c r="AB59" s="13">
        <f>IF(ISNUMBER(E59),E59,0)</f>
        <v/>
      </c>
    </row>
    <row r="60">
      <c r="A60" s="6" t="n">
        <v>55</v>
      </c>
      <c r="B60" s="32" t="n"/>
      <c r="C60" s="33" t="n"/>
      <c r="D60" s="10">
        <f>IF(AND(F60&gt;0,B60&gt;0),SUM($B$6:B60)/F60,"")</f>
        <v/>
      </c>
      <c r="E60" s="11">
        <f>IF(B60&gt;0,C60/B60,"")</f>
        <v/>
      </c>
      <c r="F60" s="32" t="n"/>
      <c r="H60" s="6" t="inlineStr">
        <is>
          <t>...and be at least this big in plain percent</t>
        </is>
      </c>
      <c r="I60" s="14" t="n">
        <v>0.1</v>
      </c>
      <c r="J60" s="29">
        <f>""</f>
        <v/>
      </c>
      <c r="K60" s="29">
        <f>""</f>
        <v/>
      </c>
      <c r="L60" s="29">
        <f>""</f>
        <v/>
      </c>
      <c r="M60" s="29">
        <f>""</f>
        <v/>
      </c>
      <c r="N60" s="29">
        <f>""</f>
        <v/>
      </c>
      <c r="O60" s="29">
        <f>""</f>
        <v/>
      </c>
      <c r="P60" s="29">
        <f>""</f>
        <v/>
      </c>
      <c r="AA60" s="12">
        <f>IF(ISNUMBER(D60),D60,0)</f>
        <v/>
      </c>
      <c r="AB60" s="13">
        <f>IF(ISNUMBER(E60),E60,0)</f>
        <v/>
      </c>
    </row>
    <row r="61">
      <c r="A61" s="6" t="n">
        <v>56</v>
      </c>
      <c r="B61" s="32" t="n"/>
      <c r="C61" s="33" t="n"/>
      <c r="D61" s="10">
        <f>IF(AND(F61&gt;0,B61&gt;0),SUM($B$6:B61)/F61,"")</f>
        <v/>
      </c>
      <c r="E61" s="11">
        <f>IF(B61&gt;0,C61/B61,"")</f>
        <v/>
      </c>
      <c r="F61" s="32" t="n"/>
      <c r="H61" s="6" t="inlineStr">
        <is>
          <t>Each window needs at least this many impressions</t>
        </is>
      </c>
      <c r="I61" s="30" t="n">
        <v>1000</v>
      </c>
      <c r="AA61" s="12">
        <f>IF(ISNUMBER(D61),D61,0)</f>
        <v/>
      </c>
      <c r="AB61" s="13">
        <f>IF(ISNUMBER(E61),E61,0)</f>
        <v/>
      </c>
    </row>
    <row r="62">
      <c r="A62" s="6" t="n">
        <v>57</v>
      </c>
      <c r="B62" s="32" t="n"/>
      <c r="C62" s="33" t="n"/>
      <c r="D62" s="10">
        <f>IF(AND(F62&gt;0,B62&gt;0),SUM($B$6:B62)/F62,"")</f>
        <v/>
      </c>
      <c r="E62" s="11">
        <f>IF(B62&gt;0,C62/B62,"")</f>
        <v/>
      </c>
      <c r="F62" s="32" t="n"/>
      <c r="H62" s="6" t="inlineStr">
        <is>
          <t>Exposure must rise by at least this share</t>
        </is>
      </c>
      <c r="I62" s="14" t="n">
        <v>0.05</v>
      </c>
      <c r="AA62" s="12">
        <f>IF(ISNUMBER(D62),D62,0)</f>
        <v/>
      </c>
      <c r="AB62" s="13">
        <f>IF(ISNUMBER(E62),E62,0)</f>
        <v/>
      </c>
    </row>
    <row r="63">
      <c r="A63" s="6" t="n">
        <v>58</v>
      </c>
      <c r="B63" s="32" t="n"/>
      <c r="C63" s="33" t="n"/>
      <c r="D63" s="10">
        <f>IF(AND(F63&gt;0,B63&gt;0),SUM($B$6:B63)/F63,"")</f>
        <v/>
      </c>
      <c r="E63" s="11">
        <f>IF(B63&gt;0,C63/B63,"")</f>
        <v/>
      </c>
      <c r="F63" s="32" t="n"/>
      <c r="H63" s="4" t="inlineStr">
        <is>
          <t>Where the last week lands if nothing had changed</t>
        </is>
      </c>
      <c r="AA63" s="12">
        <f>IF(ISNUMBER(D63),D63,0)</f>
        <v/>
      </c>
      <c r="AB63" s="13">
        <f>IF(ISNUMBER(E63),E63,0)</f>
        <v/>
      </c>
    </row>
    <row r="64">
      <c r="A64" s="6" t="n">
        <v>59</v>
      </c>
      <c r="B64" s="32" t="n"/>
      <c r="C64" s="33" t="n"/>
      <c r="D64" s="10">
        <f>IF(AND(F64&gt;0,B64&gt;0),SUM($B$6:B64)/F64,"")</f>
        <v/>
      </c>
      <c r="E64" s="11">
        <f>IF(B64&gt;0,C64/B64,"")</f>
        <v/>
      </c>
      <c r="F64" s="32" t="n"/>
      <c r="H64" s="6" t="inlineStr">
        <is>
          <t>...above</t>
        </is>
      </c>
      <c r="I64" s="22">
        <f>IF($I$50="","",$I$47-$I$59*$I$50)</f>
        <v/>
      </c>
      <c r="AA64" s="12">
        <f>IF(ISNUMBER(D64),D64,0)</f>
        <v/>
      </c>
      <c r="AB64" s="13">
        <f>IF(ISNUMBER(E64),E64,0)</f>
        <v/>
      </c>
    </row>
    <row r="65">
      <c r="A65" s="6" t="n">
        <v>60</v>
      </c>
      <c r="B65" s="32" t="n"/>
      <c r="C65" s="33" t="n"/>
      <c r="D65" s="10">
        <f>IF(AND(F65&gt;0,B65&gt;0),SUM($B$6:B65)/F65,"")</f>
        <v/>
      </c>
      <c r="E65" s="11">
        <f>IF(B65&gt;0,C65/B65,"")</f>
        <v/>
      </c>
      <c r="F65" s="32" t="n"/>
      <c r="H65" s="6" t="inlineStr">
        <is>
          <t>...and below</t>
        </is>
      </c>
      <c r="I65" s="22">
        <f>IF($I$50="","",$I$47+$I$59*$I$50)</f>
        <v/>
      </c>
      <c r="AA65" s="12">
        <f>IF(ISNUMBER(D65),D65,0)</f>
        <v/>
      </c>
      <c r="AB65" s="13">
        <f>IF(ISNUMBER(E65),E65,0)</f>
        <v/>
      </c>
    </row>
    <row r="68">
      <c r="H68" s="4" t="inlineStr">
        <is>
          <t>The verdict</t>
        </is>
      </c>
    </row>
    <row r="69" ht="30" customHeight="1">
      <c r="H69" s="31">
        <f>IF($I$28=0,"NOTHING ENTERED YET - fill the shaded cells.",IF($I$38,"WEARING OUT - FITTED: the rate falls along the exposure axis from the onset above; level, onset and decay are read off the grid",IF($I$28&lt;28,"CANNOT TELL - no bend the grid can support, and the fallback windows need 28 days",IF(OR($I$43&lt;$I$61,$I$45&lt;$I$61),"CANNOT TELL - too few impressions in a window to judge; a refusal, not a clean bill of health",IF(NOT(AND($I$51&gt;=$I$59,$I$49&gt;=$I$60)),"STEADY - the last week sits inside the range it would land in unchanged",IF($I$56&gt;=$I$62,"WEARING OUT - RANGE ONLY: below the no-change range while exposure rose materially; no onset and no rate","DECLINE, CAUSE UNKNOWN - below the range, but exposure did not rise; look at bids, budgets and the auction"))))))</f>
        <v/>
      </c>
    </row>
    <row r="70">
      <c r="A70" s="4" t="inlineStr">
        <is>
          <t>Is there enough here to judge?</t>
        </is>
      </c>
    </row>
    <row r="71" ht="30" customHeight="1">
      <c r="A71" s="34">
        <f>IF($I$28=0,"Nothing entered yet - fill the shaded cells above.",IF($I$28&lt;8,"Too short to fit a bend - a bend needs at least 8 days; the fallback windows need 28.",IF(COUNT($D$6:$D$65)=0,"No reach entered, so there is no exposure axis: no bend can be fitted, and a decline cannot be told from another cause.",IF(OR(SUMPRODUCT(ISNUMBER($F$7:$F$65)*ISNUMBER($F$6:$F$64)*($F$7:$F$65&lt;0.9*$F$6:$F$64))&gt;0,AND($I$28&gt;=7,N(INDEX($F$6:$F$65,$I$28))&gt;0,N(INDEX($F$6:$F$65,$I$28))&lt;=INDEX($B$6:$B$65,$I$28))),"This reach falls from one day to the next, or is no bigger than a single day's impressions, so it is each day's own reach, not reach to date, and the exposure built from it is wrong. "&amp;"Export reach over a range that starts at launch and ends on each day (the brief shows how), or leave reach out.",IF(MAX($D$6:$D$65)-MIN($D$6:$D$65)&lt;0.5,"Exposure barely moved, so there is no axis to fit a bend on - only the fallback rung applies, and it will not call fatigue.","Enough to judge.")))))</f>
        <v/>
      </c>
    </row>
    <row r="72"/>
  </sheetData>
  <mergeCells count="4">
    <mergeCell ref="H69:I71"/>
    <mergeCell ref="A71:F72"/>
    <mergeCell ref="H13:U13"/>
    <mergeCell ref="A2:I2"/>
  </mergeCells>
  <pageMargins left="0.75" right="0.75" top="1" bottom="1" header="0.5" footer="0.5"/>
</worksheet>
</file>

<file path=xl/worksheets/sheet3.xml><?xml version="1.0" encoding="utf-8"?>
<worksheet xmlns="http://schemas.openxmlformats.org/spreadsheetml/2006/main">
  <sheetPr>
    <tabColor rgb="000F6E56"/>
    <outlinePr summaryBelow="1" summaryRight="1"/>
    <pageSetUpPr/>
  </sheetPr>
  <dimension ref="A1:E20"/>
  <sheetViews>
    <sheetView showGridLines="0" workbookViewId="0">
      <selection activeCell="A1" sqref="A1"/>
    </sheetView>
  </sheetViews>
  <sheetFormatPr baseColWidth="8" defaultRowHeight="15"/>
  <cols>
    <col width="44" customWidth="1" min="1" max="1"/>
    <col width="18" customWidth="1" min="2" max="2"/>
    <col width="18" customWidth="1" min="3" max="3"/>
    <col width="18" customWidth="1" min="4" max="4"/>
    <col width="18" customWidth="1" min="5" max="5"/>
    <col width="18" customWidth="1" min="6" max="6"/>
  </cols>
  <sheetData>
    <row r="1">
      <c r="A1" s="1" t="inlineStr">
        <is>
          <t>What the simulation found</t>
        </is>
      </c>
    </row>
    <row r="2">
      <c r="A2" s="3" t="inlineStr">
        <is>
          <t>Read-only. These come from the notebook's simulated account - thousands of creatives with a known truth - and a sheet cannot reproduce them. They are here so the numbers in the article are checkable against something.</t>
        </is>
      </c>
    </row>
    <row r="4">
      <c r="A4" s="4" t="inlineStr">
        <is>
          <t>How often each reading finds fatigue in a creative whose rate never moved</t>
        </is>
      </c>
    </row>
    <row r="5">
      <c r="A5" s="5" t="inlineStr">
        <is>
          <t>Daily impressions</t>
        </is>
      </c>
      <c r="B5" s="5" t="inlineStr">
        <is>
          <t>'Down 20% from its best week'</t>
        </is>
      </c>
      <c r="C5" s="5" t="inlineStr">
        <is>
          <t>Bend on a 7-day rolling average</t>
        </is>
      </c>
      <c r="D5" s="5" t="inlineStr">
        <is>
          <t>Bend on the raw points</t>
        </is>
      </c>
    </row>
    <row r="6">
      <c r="A6" s="35" t="n">
        <v>400</v>
      </c>
      <c r="B6" s="36" t="n">
        <v>0.532</v>
      </c>
      <c r="C6" s="36" t="n">
        <v>0.155</v>
      </c>
      <c r="D6" s="36" t="n">
        <v>0</v>
      </c>
    </row>
    <row r="7">
      <c r="A7" s="35" t="n">
        <v>2500</v>
      </c>
      <c r="B7" s="36" t="n">
        <v>0.04</v>
      </c>
      <c r="C7" s="36" t="n">
        <v>0.172</v>
      </c>
      <c r="D7" s="36" t="n">
        <v>0</v>
      </c>
    </row>
    <row r="8">
      <c r="A8" s="35" t="n">
        <v>12000</v>
      </c>
      <c r="B8" s="36" t="n">
        <v>0</v>
      </c>
      <c r="C8" s="36" t="n">
        <v>0.15</v>
      </c>
      <c r="D8" s="36" t="n">
        <v>0</v>
      </c>
    </row>
    <row r="11">
      <c r="A11" s="4" t="inlineStr">
        <is>
          <t>Where each truth lands, at the highest volume</t>
        </is>
      </c>
    </row>
    <row r="12">
      <c r="A12" s="5" t="inlineStr">
        <is>
          <t>The truth</t>
        </is>
      </c>
      <c r="B12" s="5" t="inlineStr">
        <is>
          <t>Steady</t>
        </is>
      </c>
      <c r="C12" s="5" t="inlineStr">
        <is>
          <t>Decline, cause unknown</t>
        </is>
      </c>
      <c r="D12" s="5" t="inlineStr">
        <is>
          <t>Wearing out, range only</t>
        </is>
      </c>
      <c r="E12" s="5" t="inlineStr">
        <is>
          <t>Wearing out, fitted</t>
        </is>
      </c>
    </row>
    <row r="13">
      <c r="A13" s="6" t="inlineStr">
        <is>
          <t>Steady</t>
        </is>
      </c>
      <c r="B13" s="36" t="n">
        <v>0.995</v>
      </c>
      <c r="C13" s="36" t="n">
        <v>0.005</v>
      </c>
      <c r="D13" s="36" t="n">
        <v>0</v>
      </c>
      <c r="E13" s="36" t="n">
        <v>0</v>
      </c>
    </row>
    <row r="14">
      <c r="A14" s="6" t="inlineStr">
        <is>
          <t>Genuinely wearing out</t>
        </is>
      </c>
      <c r="B14" s="36" t="n">
        <v>0</v>
      </c>
      <c r="C14" s="36" t="n">
        <v>0</v>
      </c>
      <c r="D14" s="36" t="n">
        <v>0</v>
      </c>
      <c r="E14" s="36" t="n">
        <v>1</v>
      </c>
    </row>
    <row r="15">
      <c r="A15" s="6" t="inlineStr">
        <is>
          <t>Fell for an outside reason</t>
        </is>
      </c>
      <c r="B15" s="36" t="n">
        <v>0</v>
      </c>
      <c r="C15" s="36" t="n">
        <v>0.995</v>
      </c>
      <c r="D15" s="36" t="n">
        <v>0.005</v>
      </c>
      <c r="E15" s="36" t="n">
        <v>0</v>
      </c>
    </row>
    <row r="18">
      <c r="A18" s="4" t="inlineStr">
        <is>
          <t>The creative that defeats both readings</t>
        </is>
      </c>
    </row>
    <row r="19">
      <c r="A19" s="6" t="inlineStr">
        <is>
          <t>Loses 45% of its rate in its first 7 days, then holds - the calendar windows call it steady</t>
        </is>
      </c>
      <c r="B19" s="36" t="n">
        <v>0.97</v>
      </c>
    </row>
    <row r="20">
      <c r="A20" s="6" t="inlineStr">
        <is>
          <t>...and the exposure fit reports a bend on</t>
        </is>
      </c>
      <c r="B20" s="36" t="n">
        <v>0.1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2026-10-20T07:47:39Z</dcterms:created>
  <dcterms:modified xsi:type="dcterms:W3CDTF">2026-10-20T07:47:39Z</dcterms:modified>
</cp:coreProperties>
</file>