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ow it works" sheetId="1" state="visible" r:id="rId1"/>
    <sheet name="Worked example" sheetId="2" state="visible" r:id="rId2"/>
    <sheet name="Your data" sheetId="3" state="visible" r:id="rId3"/>
  </sheets>
  <definedNames/>
  <calcPr calcId="124519" fullCalcOnLoad="1"/>
</workbook>
</file>

<file path=xl/styles.xml><?xml version="1.0" encoding="utf-8"?>
<styleSheet xmlns="http://schemas.openxmlformats.org/spreadsheetml/2006/main">
  <numFmts count="6">
    <numFmt numFmtId="164" formatCode="yyyy-mm-dd"/>
    <numFmt numFmtId="165" formatCode="0.0000"/>
    <numFmt numFmtId="166" formatCode="0.00000"/>
    <numFmt numFmtId="167" formatCode="0.0%"/>
    <numFmt numFmtId="168" formatCode="0.000"/>
    <numFmt numFmtId="169" formatCode="0.0"/>
  </numFmts>
  <fonts count="4">
    <font>
      <name val="Calibri"/>
      <family val="2"/>
      <color theme="1"/>
      <sz val="11"/>
      <scheme val="minor"/>
    </font>
    <font>
      <b val="1"/>
      <color rgb="001F3A5F"/>
      <sz val="12"/>
    </font>
    <font>
      <i val="1"/>
      <color rgb="00565C66"/>
      <sz val="10"/>
    </font>
    <font>
      <b val="1"/>
    </font>
  </fonts>
  <fills count="3">
    <fill>
      <patternFill/>
    </fill>
    <fill>
      <patternFill patternType="gray125"/>
    </fill>
    <fill>
      <patternFill patternType="solid">
        <fgColor rgb="00FDE9D9"/>
      </patternFill>
    </fill>
  </fills>
  <borders count="2">
    <border>
      <left/>
      <right/>
      <top/>
      <bottom/>
      <diagonal/>
    </border>
    <border>
      <left style="thin">
        <color rgb="00D9D9D9"/>
      </left>
      <right style="thin">
        <color rgb="00D9D9D9"/>
      </right>
      <top style="thin">
        <color rgb="00D9D9D9"/>
      </top>
      <bottom style="thin">
        <color rgb="00D9D9D9"/>
      </bottom>
    </border>
  </borders>
  <cellStyleXfs count="1">
    <xf numFmtId="0" fontId="0" fillId="0" borderId="0"/>
  </cellStyleXfs>
  <cellXfs count="18">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0" fillId="0" borderId="1" pivotButton="0" quotePrefix="0" xfId="0"/>
    <xf numFmtId="164" fontId="0" fillId="0" borderId="1" pivotButton="0" quotePrefix="0" xfId="0"/>
    <xf numFmtId="2" fontId="0" fillId="0" borderId="1" pivotButton="0" quotePrefix="0" xfId="0"/>
    <xf numFmtId="165" fontId="0" fillId="0" borderId="1" pivotButton="0" quotePrefix="0" xfId="0"/>
    <xf numFmtId="166" fontId="0" fillId="0" borderId="1" pivotButton="0" quotePrefix="0" xfId="0"/>
    <xf numFmtId="167" fontId="0" fillId="0" borderId="1" pivotButton="0" quotePrefix="0" xfId="0"/>
    <xf numFmtId="165" fontId="0" fillId="2" borderId="1" pivotButton="0" quotePrefix="0" xfId="0"/>
    <xf numFmtId="168" fontId="0" fillId="0" borderId="1" pivotButton="0" quotePrefix="0" xfId="0"/>
    <xf numFmtId="169" fontId="0" fillId="2" borderId="1" pivotButton="0" quotePrefix="0" xfId="0"/>
    <xf numFmtId="169" fontId="0" fillId="0" borderId="1" pivotButton="0" quotePrefix="0" xfId="0"/>
    <xf numFmtId="1" fontId="0" fillId="2" borderId="1" pivotButton="0" quotePrefix="0" xfId="0"/>
    <xf numFmtId="165" fontId="0" fillId="0" borderId="0" pivotButton="0" quotePrefix="0" xfId="0"/>
    <xf numFmtId="0" fontId="0"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charts/chart1.xml><?xml version="1.0" encoding="utf-8"?>
<chartSpace xmlns:a="http://schemas.openxmlformats.org/drawingml/2006/main" xmlns="http://schemas.openxmlformats.org/drawingml/2006/chart">
  <chart>
    <title>
      <tx>
        <rich>
          <a:bodyPr/>
          <a:p>
            <a:pPr>
              <a:defRPr/>
            </a:pPr>
            <a:r>
              <a:t>Daily conversions: history, then the month ahead with its 90% range</a:t>
            </a:r>
          </a:p>
        </rich>
      </tx>
    </title>
    <plotArea>
      <lineChart>
        <grouping val="standard"/>
        <ser>
          <idx val="0"/>
          <order val="0"/>
          <tx>
            <strRef>
              <f>'Worked example'!D4</f>
            </strRef>
          </tx>
          <spPr>
            <a:ln>
              <a:prstDash val="solid"/>
            </a:ln>
          </spPr>
          <marker>
            <symbol val="none"/>
            <spPr>
              <a:ln>
                <a:prstDash val="solid"/>
              </a:ln>
            </spPr>
          </marker>
          <cat>
            <numRef>
              <f>'Worked example'!$A$5:$A$217</f>
            </numRef>
          </cat>
          <val>
            <numRef>
              <f>'Worked example'!$D$5:$D$184</f>
            </numRef>
          </val>
        </ser>
        <ser>
          <idx val="1"/>
          <order val="1"/>
          <tx>
            <strRef>
              <f>'Worked example'!F187</f>
            </strRef>
          </tx>
          <spPr>
            <a:ln>
              <a:prstDash val="solid"/>
            </a:ln>
          </spPr>
          <marker>
            <symbol val="none"/>
            <spPr>
              <a:ln>
                <a:prstDash val="solid"/>
              </a:ln>
            </spPr>
          </marker>
          <cat>
            <numRef>
              <f>'Worked example'!$A$5:$A$217</f>
            </numRef>
          </cat>
          <val>
            <numRef>
              <f>'Worked example'!$F$188:$F$217</f>
            </numRef>
          </val>
        </ser>
        <ser>
          <idx val="2"/>
          <order val="2"/>
          <tx>
            <strRef>
              <f>'Worked example'!G187</f>
            </strRef>
          </tx>
          <spPr>
            <a:ln>
              <a:prstDash val="solid"/>
            </a:ln>
          </spPr>
          <marker>
            <symbol val="none"/>
            <spPr>
              <a:ln>
                <a:prstDash val="solid"/>
              </a:ln>
            </spPr>
          </marker>
          <cat>
            <numRef>
              <f>'Worked example'!$A$5:$A$217</f>
            </numRef>
          </cat>
          <val>
            <numRef>
              <f>'Worked example'!$G$188:$G$217</f>
            </numRef>
          </val>
        </ser>
        <ser>
          <idx val="3"/>
          <order val="3"/>
          <tx>
            <strRef>
              <f>'Worked example'!H187</f>
            </strRef>
          </tx>
          <spPr>
            <a:ln>
              <a:prstDash val="solid"/>
            </a:ln>
          </spPr>
          <marker>
            <symbol val="none"/>
            <spPr>
              <a:ln>
                <a:prstDash val="solid"/>
              </a:ln>
            </spPr>
          </marker>
          <cat>
            <numRef>
              <f>'Worked example'!$A$5:$A$217</f>
            </numRef>
          </cat>
          <val>
            <numRef>
              <f>'Worked example'!$H$188:$H$217</f>
            </numRef>
          </val>
        </ser>
        <axId val="10"/>
        <axId val="100"/>
      </lineChart>
      <catAx>
        <axId val="10"/>
        <scaling>
          <orientation val="minMax"/>
        </scaling>
        <axPos val="l"/>
        <title>
          <tx>
            <rich>
              <a:bodyPr/>
              <a:p>
                <a:pPr>
                  <a:defRPr/>
                </a:pPr>
                <a:r>
                  <a:t>day</a:t>
                </a:r>
              </a:p>
            </rich>
          </tx>
        </title>
        <majorTickMark val="none"/>
        <minorTickMark val="none"/>
        <crossAx val="100"/>
        <lblOffset val="100"/>
      </catAx>
      <valAx>
        <axId val="100"/>
        <scaling>
          <orientation val="minMax"/>
        </scaling>
        <axPos val="l"/>
        <majorGridlines/>
        <title>
          <tx>
            <rich>
              <a:bodyPr/>
              <a:p>
                <a:pPr>
                  <a:defRPr/>
                </a:pPr>
                <a:r>
                  <a:t>conversions per day</a:t>
                </a:r>
              </a:p>
            </rich>
          </tx>
        </title>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11</col>
      <colOff>0</colOff>
      <row>26</row>
      <rowOff>0</rowOff>
    </from>
    <ext cx="8640000" cy="3240000"/>
    <graphicFrame>
      <nvGraphicFramePr>
        <cNvPr id="1" name="Chart 1"/>
        <cNvGraphicFramePr/>
      </nvGraphicFramePr>
      <xfrm/>
      <a:graphic>
        <a:graphicData uri="http://schemas.openxmlformats.org/drawingml/2006/chart">
          <c:chart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84" customWidth="1" min="2" max="2"/>
  </cols>
  <sheetData>
    <row r="1">
      <c r="A1" s="1" t="inlineStr">
        <is>
          <t>Next month's forecast, and what this sheet can and cannot do</t>
        </is>
      </c>
    </row>
    <row r="2">
      <c r="A2" s="2" t="inlineStr">
        <is>
          <t>Synthetic data throughout. Nothing here leaves your machine.</t>
        </is>
      </c>
    </row>
    <row r="4">
      <c r="A4" s="3" t="inlineStr">
        <is>
          <t>The formula</t>
        </is>
      </c>
      <c r="B4" t="inlineStr">
        <is>
          <t>log(conversions on day t)  =  trend line at t  +  that weekday's adjustment  +  what is left</t>
        </is>
      </c>
    </row>
    <row r="5">
      <c r="A5" t="inlineStr">
        <is>
          <t>The forecast</t>
        </is>
      </c>
      <c r="B5" s="4" t="inlineStr">
        <is>
          <t>Read the trend line forward, add the weekday's adjustment, and undo the log. The range is that day's forecast times and divided by exp(1.645 x the spread of what was left), which is a 90% band if the leftovers behave.</t>
        </is>
      </c>
    </row>
    <row r="6">
      <c r="A6" t="inlineStr">
        <is>
          <t>Why the log</t>
        </is>
      </c>
      <c r="B6" s="4" t="inlineStr">
        <is>
          <t>Volumes swing in proportion to their level. On the log scale a proportional effect is an additive one, and a symmetric band becomes honestly lopsided (more room above than below) when it is undone.</t>
        </is>
      </c>
    </row>
    <row r="8">
      <c r="A8" s="3" t="inlineStr">
        <is>
          <t>What it needs</t>
        </is>
      </c>
      <c r="B8" s="4" t="inlineStr">
        <is>
          <t>One row per day: a date and that day's conversions, every day above zero, no gaps, one campaign or one account at a time. At least two full weeks.</t>
        </is>
      </c>
    </row>
    <row r="10">
      <c r="A10" s="1" t="inlineStr">
        <is>
          <t>THIS SHEET IS SIMPLIFIED: what it leaves out</t>
        </is>
      </c>
      <c r="B10" s="2" t="inlineStr">
        <is>
          <t>and the notebook does every one of them</t>
        </is>
      </c>
    </row>
    <row r="11" ht="44" customHeight="1">
      <c r="A11" s="3" t="inlineStr">
        <is>
          <t>A trend that bends</t>
        </is>
      </c>
      <c r="B11" s="4" t="inlineStr">
        <is>
          <t>The notebook lays a candidate bend every two weeks and keeps the ones that pay for themselves. This sheet fits one straight line through the whole history on the log scale, so an account whose growth changed part-way is described by neither half.</t>
        </is>
      </c>
    </row>
    <row r="12" ht="44" customHeight="1">
      <c r="A12" s="3" t="inlineStr">
        <is>
          <t>Yesterday's leftover carried forward</t>
        </is>
      </c>
      <c r="B12" s="4" t="inlineStr">
        <is>
          <t>Today resembles yesterday. The notebook measures how strongly and carries the last leftover into the first days of the forecast, fading it out. This sheet starts every forecast day from the trend and the weekday alone.</t>
        </is>
      </c>
    </row>
    <row r="13" ht="44" customHeight="1">
      <c r="A13" s="3" t="inlineStr">
        <is>
          <t>The second part of the range</t>
        </is>
      </c>
      <c r="B13" s="4" t="inlineStr">
        <is>
          <t>The notebook's range has two parts: the noise ahead, and how unsure the fitted trend itself is, which grows with every day it is extrapolated. This sheet carries only the first, so its range is the same width on day one and day thirty.</t>
        </is>
      </c>
    </row>
    <row r="14" ht="44" customHeight="1">
      <c r="A14" s="3" t="inlineStr">
        <is>
          <t>A range for the month's total</t>
        </is>
      </c>
      <c r="B14" s="4" t="inlineStr">
        <is>
          <t>The days' misses are related, so the month's range is not the daily ranges stacked. This sheet gives the month's total with no range at all rather than a wrong one; the notebook computes it properly.</t>
        </is>
      </c>
    </row>
    <row r="15" ht="44" customHeight="1">
      <c r="A15" s="3" t="inlineStr">
        <is>
          <t>Whether the range keeps its promise</t>
        </is>
      </c>
      <c r="B15" s="4" t="inlineStr">
        <is>
          <t>Checking that a nine-in-ten range catches the truth nine times in ten needs hundreds of accounts, each with a future that came true. The article measures it (about three in four for the month's total), and a sheet holds one account.</t>
        </is>
      </c>
    </row>
    <row r="17">
      <c r="A17" s="1" t="inlineStr">
        <is>
          <t>Where this method lies to you</t>
        </is>
      </c>
    </row>
    <row r="18" ht="36" customHeight="1">
      <c r="A18" s="3" t="inlineStr">
        <is>
          <t>A change you already know about</t>
        </is>
      </c>
      <c r="B18" s="4" t="inlineStr">
        <is>
          <t>A budget move approved for next month is not in the history, so it is not in the forecast. Adjust by hand and say that you did.</t>
        </is>
      </c>
    </row>
    <row r="19" ht="36" customHeight="1">
      <c r="A19" s="3" t="inlineStr">
        <is>
          <t>Unfinished recent days</t>
        </is>
      </c>
      <c r="B19" s="4" t="inlineStr">
        <is>
          <t>Conversions arrive late, so the newest days under-report and drag the forecast down. Drop the days younger than your platform's reporting lag before you fit.</t>
        </is>
      </c>
    </row>
    <row r="20" ht="36" customHeight="1">
      <c r="A20" s="3" t="inlineStr">
        <is>
          <t>A step in the level</t>
        </is>
      </c>
      <c r="B20" s="4" t="inlineStr">
        <is>
          <t>A straight line cannot describe a level that dropped and stayed dropped. Fit on the days since the step, or the forecast carries the old level.</t>
        </is>
      </c>
    </row>
    <row r="21" ht="36" customHeight="1">
      <c r="A21" s="3" t="inlineStr">
        <is>
          <t>It never says why</t>
        </is>
      </c>
      <c r="B21" s="4" t="inlineStr">
        <is>
          <t>It projects the level and the rhythm. Whether the growth came from a creative or a cheaper auction is not in these numbers.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P218"/>
  <sheetViews>
    <sheetView workbookViewId="0">
      <selection activeCell="A1" sqref="A1"/>
    </sheetView>
  </sheetViews>
  <sheetFormatPr baseColWidth="8" defaultRowHeight="15"/>
  <cols>
    <col width="8" customWidth="1" min="1" max="1"/>
    <col width="12" customWidth="1" min="2" max="2"/>
    <col width="9" customWidth="1" min="3" max="3"/>
    <col width="13" customWidth="1" min="4" max="4"/>
    <col width="11" customWidth="1" min="5" max="5"/>
    <col width="11" customWidth="1" min="6" max="6"/>
    <col width="11" customWidth="1" min="7" max="7"/>
    <col width="11" customWidth="1" min="8" max="8"/>
    <col width="11" customWidth="1" min="9" max="9"/>
    <col width="11" customWidth="1" min="10" max="10"/>
    <col width="32" customWidth="1" min="12" max="12"/>
    <col width="13" customWidth="1" min="13" max="13"/>
    <col width="4" customWidth="1" min="14" max="14"/>
    <col width="4" customWidth="1" min="15" max="15"/>
    <col width="4" customWidth="1" min="16" max="16"/>
  </cols>
  <sheetData>
    <row r="1">
      <c r="A1" s="1" t="inlineStr">
        <is>
          <t>Six months of one synthetic advertiser's daily conversions, and the month ahead</t>
        </is>
      </c>
    </row>
    <row r="2">
      <c r="A2" s="2" t="inlineStr">
        <is>
          <t>Every computed cell is a live formula. Change a value in column D and watch the trend, the weekday adjustments, the spread and the whole forecast move.</t>
        </is>
      </c>
    </row>
    <row r="3">
      <c r="L3" s="1" t="inlineStr">
        <is>
          <t>The computation, step by step</t>
        </is>
      </c>
    </row>
    <row r="4">
      <c r="A4" s="3" t="inlineStr">
        <is>
          <t>Day</t>
        </is>
      </c>
      <c r="B4" s="3" t="inlineStr">
        <is>
          <t>Date</t>
        </is>
      </c>
      <c r="C4" s="3" t="inlineStr">
        <is>
          <t>Weekday</t>
        </is>
      </c>
      <c r="D4" s="3" t="inlineStr">
        <is>
          <t>Conversions</t>
        </is>
      </c>
      <c r="E4" s="3" t="inlineStr">
        <is>
          <t>log</t>
        </is>
      </c>
      <c r="F4" s="3" t="inlineStr">
        <is>
          <t>Trend</t>
        </is>
      </c>
      <c r="G4" s="3" t="inlineStr">
        <is>
          <t>Detrended</t>
        </is>
      </c>
      <c r="H4" s="3" t="inlineStr">
        <is>
          <t>Weekday adj.</t>
        </is>
      </c>
      <c r="I4" s="3" t="inlineStr">
        <is>
          <t>Fitted</t>
        </is>
      </c>
      <c r="J4" s="3" t="inlineStr">
        <is>
          <t>Leftover</t>
        </is>
      </c>
      <c r="L4" s="3" t="inlineStr">
        <is>
          <t>Step</t>
        </is>
      </c>
      <c r="M4" s="3" t="inlineStr">
        <is>
          <t>Value</t>
        </is>
      </c>
    </row>
    <row r="5">
      <c r="A5" s="5" t="n">
        <v>1</v>
      </c>
      <c r="B5" s="6" t="n">
        <v>46097</v>
      </c>
      <c r="C5" s="5">
        <f>WEEKDAY(B5,2)</f>
        <v/>
      </c>
      <c r="D5" s="7" t="n">
        <v>57.8736</v>
      </c>
      <c r="E5" s="8">
        <f>LN(D5)</f>
        <v/>
      </c>
      <c r="F5" s="8">
        <f>$M$6+$M$5*A5</f>
        <v/>
      </c>
      <c r="G5" s="8">
        <f>E5-F5</f>
        <v/>
      </c>
      <c r="H5" s="8">
        <f>INDEX($M$9:$M$15,C5)</f>
        <v/>
      </c>
      <c r="I5" s="8">
        <f>F5+H5</f>
        <v/>
      </c>
      <c r="J5" s="8">
        <f>E5-I5</f>
        <v/>
      </c>
      <c r="L5" s="5" t="inlineStr">
        <is>
          <t>Trend slope per day (on the log scale)</t>
        </is>
      </c>
      <c r="M5" s="9">
        <f>SLOPE($E$5:$E$184,$A$5:$A$184)</f>
        <v/>
      </c>
    </row>
    <row r="6">
      <c r="A6" s="5" t="n">
        <v>2</v>
      </c>
      <c r="B6" s="6" t="n">
        <v>46098</v>
      </c>
      <c r="C6" s="5">
        <f>WEEKDAY(B6,2)</f>
        <v/>
      </c>
      <c r="D6" s="7" t="n">
        <v>63.6416</v>
      </c>
      <c r="E6" s="8">
        <f>LN(D6)</f>
        <v/>
      </c>
      <c r="F6" s="8">
        <f>$M$6+$M$5*A6</f>
        <v/>
      </c>
      <c r="G6" s="8">
        <f>E6-F6</f>
        <v/>
      </c>
      <c r="H6" s="8">
        <f>INDEX($M$9:$M$15,C6)</f>
        <v/>
      </c>
      <c r="I6" s="8">
        <f>F6+H6</f>
        <v/>
      </c>
      <c r="J6" s="8">
        <f>E6-I6</f>
        <v/>
      </c>
      <c r="L6" s="5" t="inlineStr">
        <is>
          <t>Trend at day zero (log)</t>
        </is>
      </c>
      <c r="M6" s="8">
        <f>INTERCEPT($E$5:$E$184,$A$5:$A$184)</f>
        <v/>
      </c>
    </row>
    <row r="7">
      <c r="A7" s="5" t="n">
        <v>3</v>
      </c>
      <c r="B7" s="6" t="n">
        <v>46099</v>
      </c>
      <c r="C7" s="5">
        <f>WEEKDAY(B7,2)</f>
        <v/>
      </c>
      <c r="D7" s="7" t="n">
        <v>65.8871</v>
      </c>
      <c r="E7" s="8">
        <f>LN(D7)</f>
        <v/>
      </c>
      <c r="F7" s="8">
        <f>$M$6+$M$5*A7</f>
        <v/>
      </c>
      <c r="G7" s="8">
        <f>E7-F7</f>
        <v/>
      </c>
      <c r="H7" s="8">
        <f>INDEX($M$9:$M$15,C7)</f>
        <v/>
      </c>
      <c r="I7" s="8">
        <f>F7+H7</f>
        <v/>
      </c>
      <c r="J7" s="8">
        <f>E7-I7</f>
        <v/>
      </c>
      <c r="L7" s="5" t="inlineStr">
        <is>
          <t>Growth this implies per quarter</t>
        </is>
      </c>
      <c r="M7" s="10">
        <f>EXP(M5*90)-1</f>
        <v/>
      </c>
    </row>
    <row r="8">
      <c r="A8" s="5" t="n">
        <v>4</v>
      </c>
      <c r="B8" s="6" t="n">
        <v>46100</v>
      </c>
      <c r="C8" s="5">
        <f>WEEKDAY(B8,2)</f>
        <v/>
      </c>
      <c r="D8" s="7" t="n">
        <v>77.0852</v>
      </c>
      <c r="E8" s="8">
        <f>LN(D8)</f>
        <v/>
      </c>
      <c r="F8" s="8">
        <f>$M$6+$M$5*A8</f>
        <v/>
      </c>
      <c r="G8" s="8">
        <f>E8-F8</f>
        <v/>
      </c>
      <c r="H8" s="8">
        <f>INDEX($M$9:$M$15,C8)</f>
        <v/>
      </c>
      <c r="I8" s="8">
        <f>F8+H8</f>
        <v/>
      </c>
      <c r="J8" s="8">
        <f>E8-I8</f>
        <v/>
      </c>
      <c r="L8" s="3" t="inlineStr">
        <is>
          <t>Weekday adjustment (log), Monday first</t>
        </is>
      </c>
    </row>
    <row r="9">
      <c r="A9" s="5" t="n">
        <v>5</v>
      </c>
      <c r="B9" s="6" t="n">
        <v>46101</v>
      </c>
      <c r="C9" s="5">
        <f>WEEKDAY(B9,2)</f>
        <v/>
      </c>
      <c r="D9" s="7" t="n">
        <v>64.0552</v>
      </c>
      <c r="E9" s="8">
        <f>LN(D9)</f>
        <v/>
      </c>
      <c r="F9" s="8">
        <f>$M$6+$M$5*A9</f>
        <v/>
      </c>
      <c r="G9" s="8">
        <f>E9-F9</f>
        <v/>
      </c>
      <c r="H9" s="8">
        <f>INDEX($M$9:$M$15,C9)</f>
        <v/>
      </c>
      <c r="I9" s="8">
        <f>F9+H9</f>
        <v/>
      </c>
      <c r="J9" s="8">
        <f>E9-I9</f>
        <v/>
      </c>
      <c r="L9" s="5" t="inlineStr">
        <is>
          <t>Monday</t>
        </is>
      </c>
      <c r="M9" s="8">
        <f>AVERAGEIF($C$5:$C$184,1,$G$5:$G$184)</f>
        <v/>
      </c>
    </row>
    <row r="10">
      <c r="A10" s="5" t="n">
        <v>6</v>
      </c>
      <c r="B10" s="6" t="n">
        <v>46102</v>
      </c>
      <c r="C10" s="5">
        <f>WEEKDAY(B10,2)</f>
        <v/>
      </c>
      <c r="D10" s="7" t="n">
        <v>52.0361</v>
      </c>
      <c r="E10" s="8">
        <f>LN(D10)</f>
        <v/>
      </c>
      <c r="F10" s="8">
        <f>$M$6+$M$5*A10</f>
        <v/>
      </c>
      <c r="G10" s="8">
        <f>E10-F10</f>
        <v/>
      </c>
      <c r="H10" s="8">
        <f>INDEX($M$9:$M$15,C10)</f>
        <v/>
      </c>
      <c r="I10" s="8">
        <f>F10+H10</f>
        <v/>
      </c>
      <c r="J10" s="8">
        <f>E10-I10</f>
        <v/>
      </c>
      <c r="L10" s="5" t="inlineStr">
        <is>
          <t>Tuesday</t>
        </is>
      </c>
      <c r="M10" s="8">
        <f>AVERAGEIF($C$5:$C$184,2,$G$5:$G$184)</f>
        <v/>
      </c>
    </row>
    <row r="11">
      <c r="A11" s="5" t="n">
        <v>7</v>
      </c>
      <c r="B11" s="6" t="n">
        <v>46103</v>
      </c>
      <c r="C11" s="5">
        <f>WEEKDAY(B11,2)</f>
        <v/>
      </c>
      <c r="D11" s="7" t="n">
        <v>57.6909</v>
      </c>
      <c r="E11" s="8">
        <f>LN(D11)</f>
        <v/>
      </c>
      <c r="F11" s="8">
        <f>$M$6+$M$5*A11</f>
        <v/>
      </c>
      <c r="G11" s="8">
        <f>E11-F11</f>
        <v/>
      </c>
      <c r="H11" s="8">
        <f>INDEX($M$9:$M$15,C11)</f>
        <v/>
      </c>
      <c r="I11" s="8">
        <f>F11+H11</f>
        <v/>
      </c>
      <c r="J11" s="8">
        <f>E11-I11</f>
        <v/>
      </c>
      <c r="L11" s="5" t="inlineStr">
        <is>
          <t>Wednesday</t>
        </is>
      </c>
      <c r="M11" s="8">
        <f>AVERAGEIF($C$5:$C$184,3,$G$5:$G$184)</f>
        <v/>
      </c>
    </row>
    <row r="12">
      <c r="A12" s="5" t="n">
        <v>8</v>
      </c>
      <c r="B12" s="6" t="n">
        <v>46104</v>
      </c>
      <c r="C12" s="5">
        <f>WEEKDAY(B12,2)</f>
        <v/>
      </c>
      <c r="D12" s="7" t="n">
        <v>75.1816</v>
      </c>
      <c r="E12" s="8">
        <f>LN(D12)</f>
        <v/>
      </c>
      <c r="F12" s="8">
        <f>$M$6+$M$5*A12</f>
        <v/>
      </c>
      <c r="G12" s="8">
        <f>E12-F12</f>
        <v/>
      </c>
      <c r="H12" s="8">
        <f>INDEX($M$9:$M$15,C12)</f>
        <v/>
      </c>
      <c r="I12" s="8">
        <f>F12+H12</f>
        <v/>
      </c>
      <c r="J12" s="8">
        <f>E12-I12</f>
        <v/>
      </c>
      <c r="L12" s="5" t="inlineStr">
        <is>
          <t>Thursday</t>
        </is>
      </c>
      <c r="M12" s="8">
        <f>AVERAGEIF($C$5:$C$184,4,$G$5:$G$184)</f>
        <v/>
      </c>
    </row>
    <row r="13">
      <c r="A13" s="5" t="n">
        <v>9</v>
      </c>
      <c r="B13" s="6" t="n">
        <v>46105</v>
      </c>
      <c r="C13" s="5">
        <f>WEEKDAY(B13,2)</f>
        <v/>
      </c>
      <c r="D13" s="7" t="n">
        <v>71.3937</v>
      </c>
      <c r="E13" s="8">
        <f>LN(D13)</f>
        <v/>
      </c>
      <c r="F13" s="8">
        <f>$M$6+$M$5*A13</f>
        <v/>
      </c>
      <c r="G13" s="8">
        <f>E13-F13</f>
        <v/>
      </c>
      <c r="H13" s="8">
        <f>INDEX($M$9:$M$15,C13)</f>
        <v/>
      </c>
      <c r="I13" s="8">
        <f>F13+H13</f>
        <v/>
      </c>
      <c r="J13" s="8">
        <f>E13-I13</f>
        <v/>
      </c>
      <c r="L13" s="5" t="inlineStr">
        <is>
          <t>Friday</t>
        </is>
      </c>
      <c r="M13" s="8">
        <f>AVERAGEIF($C$5:$C$184,5,$G$5:$G$184)</f>
        <v/>
      </c>
    </row>
    <row r="14">
      <c r="A14" s="5" t="n">
        <v>10</v>
      </c>
      <c r="B14" s="6" t="n">
        <v>46106</v>
      </c>
      <c r="C14" s="5">
        <f>WEEKDAY(B14,2)</f>
        <v/>
      </c>
      <c r="D14" s="7" t="n">
        <v>71.6097</v>
      </c>
      <c r="E14" s="8">
        <f>LN(D14)</f>
        <v/>
      </c>
      <c r="F14" s="8">
        <f>$M$6+$M$5*A14</f>
        <v/>
      </c>
      <c r="G14" s="8">
        <f>E14-F14</f>
        <v/>
      </c>
      <c r="H14" s="8">
        <f>INDEX($M$9:$M$15,C14)</f>
        <v/>
      </c>
      <c r="I14" s="8">
        <f>F14+H14</f>
        <v/>
      </c>
      <c r="J14" s="8">
        <f>E14-I14</f>
        <v/>
      </c>
      <c r="L14" s="5" t="inlineStr">
        <is>
          <t>Saturday</t>
        </is>
      </c>
      <c r="M14" s="8">
        <f>AVERAGEIF($C$5:$C$184,6,$G$5:$G$184)</f>
        <v/>
      </c>
    </row>
    <row r="15">
      <c r="A15" s="5" t="n">
        <v>11</v>
      </c>
      <c r="B15" s="6" t="n">
        <v>46107</v>
      </c>
      <c r="C15" s="5">
        <f>WEEKDAY(B15,2)</f>
        <v/>
      </c>
      <c r="D15" s="7" t="n">
        <v>64.95610000000001</v>
      </c>
      <c r="E15" s="8">
        <f>LN(D15)</f>
        <v/>
      </c>
      <c r="F15" s="8">
        <f>$M$6+$M$5*A15</f>
        <v/>
      </c>
      <c r="G15" s="8">
        <f>E15-F15</f>
        <v/>
      </c>
      <c r="H15" s="8">
        <f>INDEX($M$9:$M$15,C15)</f>
        <v/>
      </c>
      <c r="I15" s="8">
        <f>F15+H15</f>
        <v/>
      </c>
      <c r="J15" s="8">
        <f>E15-I15</f>
        <v/>
      </c>
      <c r="L15" s="5" t="inlineStr">
        <is>
          <t>Sunday</t>
        </is>
      </c>
      <c r="M15" s="8">
        <f>AVERAGEIF($C$5:$C$184,7,$G$5:$G$184)</f>
        <v/>
      </c>
    </row>
    <row r="16">
      <c r="A16" s="5" t="n">
        <v>12</v>
      </c>
      <c r="B16" s="6" t="n">
        <v>46108</v>
      </c>
      <c r="C16" s="5">
        <f>WEEKDAY(B16,2)</f>
        <v/>
      </c>
      <c r="D16" s="7" t="n">
        <v>67.90430000000001</v>
      </c>
      <c r="E16" s="8">
        <f>LN(D16)</f>
        <v/>
      </c>
      <c r="F16" s="8">
        <f>$M$6+$M$5*A16</f>
        <v/>
      </c>
      <c r="G16" s="8">
        <f>E16-F16</f>
        <v/>
      </c>
      <c r="H16" s="8">
        <f>INDEX($M$9:$M$15,C16)</f>
        <v/>
      </c>
      <c r="I16" s="8">
        <f>F16+H16</f>
        <v/>
      </c>
      <c r="J16" s="8">
        <f>E16-I16</f>
        <v/>
      </c>
    </row>
    <row r="17">
      <c r="A17" s="5" t="n">
        <v>13</v>
      </c>
      <c r="B17" s="6" t="n">
        <v>46109</v>
      </c>
      <c r="C17" s="5">
        <f>WEEKDAY(B17,2)</f>
        <v/>
      </c>
      <c r="D17" s="7" t="n">
        <v>56.8371</v>
      </c>
      <c r="E17" s="8">
        <f>LN(D17)</f>
        <v/>
      </c>
      <c r="F17" s="8">
        <f>$M$6+$M$5*A17</f>
        <v/>
      </c>
      <c r="G17" s="8">
        <f>E17-F17</f>
        <v/>
      </c>
      <c r="H17" s="8">
        <f>INDEX($M$9:$M$15,C17)</f>
        <v/>
      </c>
      <c r="I17" s="8">
        <f>F17+H17</f>
        <v/>
      </c>
      <c r="J17" s="8">
        <f>E17-I17</f>
        <v/>
      </c>
      <c r="L17" s="5" t="inlineStr">
        <is>
          <t>Spread of what is left (log)</t>
        </is>
      </c>
      <c r="M17" s="11">
        <f>_xlfn.STDEV.P($J$5:$J$184)</f>
        <v/>
      </c>
    </row>
    <row r="18">
      <c r="A18" s="5" t="n">
        <v>14</v>
      </c>
      <c r="B18" s="6" t="n">
        <v>46110</v>
      </c>
      <c r="C18" s="5">
        <f>WEEKDAY(B18,2)</f>
        <v/>
      </c>
      <c r="D18" s="7" t="n">
        <v>57.0792</v>
      </c>
      <c r="E18" s="8">
        <f>LN(D18)</f>
        <v/>
      </c>
      <c r="F18" s="8">
        <f>$M$6+$M$5*A18</f>
        <v/>
      </c>
      <c r="G18" s="8">
        <f>E18-F18</f>
        <v/>
      </c>
      <c r="H18" s="8">
        <f>INDEX($M$9:$M$15,C18)</f>
        <v/>
      </c>
      <c r="I18" s="8">
        <f>F18+H18</f>
        <v/>
      </c>
      <c r="J18" s="8">
        <f>E18-I18</f>
        <v/>
      </c>
      <c r="L18" s="5" t="inlineStr">
        <is>
          <t>Band multiplier (90%)</t>
        </is>
      </c>
      <c r="M18" s="12" t="n">
        <v>1.645</v>
      </c>
    </row>
    <row r="19">
      <c r="A19" s="5" t="n">
        <v>15</v>
      </c>
      <c r="B19" s="6" t="n">
        <v>46111</v>
      </c>
      <c r="C19" s="5">
        <f>WEEKDAY(B19,2)</f>
        <v/>
      </c>
      <c r="D19" s="7" t="n">
        <v>77.35899999999999</v>
      </c>
      <c r="E19" s="8">
        <f>LN(D19)</f>
        <v/>
      </c>
      <c r="F19" s="8">
        <f>$M$6+$M$5*A19</f>
        <v/>
      </c>
      <c r="G19" s="8">
        <f>E19-F19</f>
        <v/>
      </c>
      <c r="H19" s="8">
        <f>INDEX($M$9:$M$15,C19)</f>
        <v/>
      </c>
      <c r="I19" s="8">
        <f>F19+H19</f>
        <v/>
      </c>
      <c r="J19" s="8">
        <f>E19-I19</f>
        <v/>
      </c>
      <c r="L19" s="5" t="inlineStr">
        <is>
          <t>Days of history</t>
        </is>
      </c>
      <c r="M19" s="5">
        <f>COUNT($A$5:$A$184)</f>
        <v/>
      </c>
    </row>
    <row r="20">
      <c r="A20" s="5" t="n">
        <v>16</v>
      </c>
      <c r="B20" s="6" t="n">
        <v>46112</v>
      </c>
      <c r="C20" s="5">
        <f>WEEKDAY(B20,2)</f>
        <v/>
      </c>
      <c r="D20" s="7" t="n">
        <v>76.9473</v>
      </c>
      <c r="E20" s="8">
        <f>LN(D20)</f>
        <v/>
      </c>
      <c r="F20" s="8">
        <f>$M$6+$M$5*A20</f>
        <v/>
      </c>
      <c r="G20" s="8">
        <f>E20-F20</f>
        <v/>
      </c>
      <c r="H20" s="8">
        <f>INDEX($M$9:$M$15,C20)</f>
        <v/>
      </c>
      <c r="I20" s="8">
        <f>F20+H20</f>
        <v/>
      </c>
      <c r="J20" s="8">
        <f>E20-I20</f>
        <v/>
      </c>
    </row>
    <row r="21">
      <c r="A21" s="5" t="n">
        <v>17</v>
      </c>
      <c r="B21" s="6" t="n">
        <v>46113</v>
      </c>
      <c r="C21" s="5">
        <f>WEEKDAY(B21,2)</f>
        <v/>
      </c>
      <c r="D21" s="7" t="n">
        <v>71.9713</v>
      </c>
      <c r="E21" s="8">
        <f>LN(D21)</f>
        <v/>
      </c>
      <c r="F21" s="8">
        <f>$M$6+$M$5*A21</f>
        <v/>
      </c>
      <c r="G21" s="8">
        <f>E21-F21</f>
        <v/>
      </c>
      <c r="H21" s="8">
        <f>INDEX($M$9:$M$15,C21)</f>
        <v/>
      </c>
      <c r="I21" s="8">
        <f>F21+H21</f>
        <v/>
      </c>
      <c r="J21" s="8">
        <f>E21-I21</f>
        <v/>
      </c>
      <c r="L21" s="3" t="inlineStr">
        <is>
          <t>How to read this</t>
        </is>
      </c>
    </row>
    <row r="22" ht="30" customHeight="1">
      <c r="A22" s="5" t="n">
        <v>18</v>
      </c>
      <c r="B22" s="6" t="n">
        <v>46114</v>
      </c>
      <c r="C22" s="5">
        <f>WEEKDAY(B22,2)</f>
        <v/>
      </c>
      <c r="D22" s="7" t="n">
        <v>69.05710000000001</v>
      </c>
      <c r="E22" s="8">
        <f>LN(D22)</f>
        <v/>
      </c>
      <c r="F22" s="8">
        <f>$M$6+$M$5*A22</f>
        <v/>
      </c>
      <c r="G22" s="8">
        <f>E22-F22</f>
        <v/>
      </c>
      <c r="H22" s="8">
        <f>INDEX($M$9:$M$15,C22)</f>
        <v/>
      </c>
      <c r="I22" s="8">
        <f>F22+H22</f>
        <v/>
      </c>
      <c r="J22" s="8">
        <f>E22-I22</f>
        <v/>
      </c>
      <c r="L22" s="4" t="inlineStr">
        <is>
          <t>M17 is the whole range: every forecast day is multiplied and divided by exp(M18 x M17). The notebook adds a second part that grows with the horizon; this sheet does not, and its range is the same width all month.</t>
        </is>
      </c>
    </row>
    <row r="23">
      <c r="A23" s="5" t="n">
        <v>19</v>
      </c>
      <c r="B23" s="6" t="n">
        <v>46115</v>
      </c>
      <c r="C23" s="5">
        <f>WEEKDAY(B23,2)</f>
        <v/>
      </c>
      <c r="D23" s="7" t="n">
        <v>66.613</v>
      </c>
      <c r="E23" s="8">
        <f>LN(D23)</f>
        <v/>
      </c>
      <c r="F23" s="8">
        <f>$M$6+$M$5*A23</f>
        <v/>
      </c>
      <c r="G23" s="8">
        <f>E23-F23</f>
        <v/>
      </c>
      <c r="H23" s="8">
        <f>INDEX($M$9:$M$15,C23)</f>
        <v/>
      </c>
      <c r="I23" s="8">
        <f>F23+H23</f>
        <v/>
      </c>
      <c r="J23" s="8">
        <f>E23-I23</f>
        <v/>
      </c>
    </row>
    <row r="24">
      <c r="A24" s="5" t="n">
        <v>20</v>
      </c>
      <c r="B24" s="6" t="n">
        <v>46116</v>
      </c>
      <c r="C24" s="5">
        <f>WEEKDAY(B24,2)</f>
        <v/>
      </c>
      <c r="D24" s="7" t="n">
        <v>67.5119</v>
      </c>
      <c r="E24" s="8">
        <f>LN(D24)</f>
        <v/>
      </c>
      <c r="F24" s="8">
        <f>$M$6+$M$5*A24</f>
        <v/>
      </c>
      <c r="G24" s="8">
        <f>E24-F24</f>
        <v/>
      </c>
      <c r="H24" s="8">
        <f>INDEX($M$9:$M$15,C24)</f>
        <v/>
      </c>
      <c r="I24" s="8">
        <f>F24+H24</f>
        <v/>
      </c>
      <c r="J24" s="8">
        <f>E24-I24</f>
        <v/>
      </c>
    </row>
    <row r="25">
      <c r="A25" s="5" t="n">
        <v>21</v>
      </c>
      <c r="B25" s="6" t="n">
        <v>46117</v>
      </c>
      <c r="C25" s="5">
        <f>WEEKDAY(B25,2)</f>
        <v/>
      </c>
      <c r="D25" s="7" t="n">
        <v>63.098</v>
      </c>
      <c r="E25" s="8">
        <f>LN(D25)</f>
        <v/>
      </c>
      <c r="F25" s="8">
        <f>$M$6+$M$5*A25</f>
        <v/>
      </c>
      <c r="G25" s="8">
        <f>E25-F25</f>
        <v/>
      </c>
      <c r="H25" s="8">
        <f>INDEX($M$9:$M$15,C25)</f>
        <v/>
      </c>
      <c r="I25" s="8">
        <f>F25+H25</f>
        <v/>
      </c>
      <c r="J25" s="8">
        <f>E25-I25</f>
        <v/>
      </c>
    </row>
    <row r="26">
      <c r="A26" s="5" t="n">
        <v>22</v>
      </c>
      <c r="B26" s="6" t="n">
        <v>46118</v>
      </c>
      <c r="C26" s="5">
        <f>WEEKDAY(B26,2)</f>
        <v/>
      </c>
      <c r="D26" s="7" t="n">
        <v>81.571</v>
      </c>
      <c r="E26" s="8">
        <f>LN(D26)</f>
        <v/>
      </c>
      <c r="F26" s="8">
        <f>$M$6+$M$5*A26</f>
        <v/>
      </c>
      <c r="G26" s="8">
        <f>E26-F26</f>
        <v/>
      </c>
      <c r="H26" s="8">
        <f>INDEX($M$9:$M$15,C26)</f>
        <v/>
      </c>
      <c r="I26" s="8">
        <f>F26+H26</f>
        <v/>
      </c>
      <c r="J26" s="8">
        <f>E26-I26</f>
        <v/>
      </c>
    </row>
    <row r="27">
      <c r="A27" s="5" t="n">
        <v>23</v>
      </c>
      <c r="B27" s="6" t="n">
        <v>46119</v>
      </c>
      <c r="C27" s="5">
        <f>WEEKDAY(B27,2)</f>
        <v/>
      </c>
      <c r="D27" s="7" t="n">
        <v>82.84399999999999</v>
      </c>
      <c r="E27" s="8">
        <f>LN(D27)</f>
        <v/>
      </c>
      <c r="F27" s="8">
        <f>$M$6+$M$5*A27</f>
        <v/>
      </c>
      <c r="G27" s="8">
        <f>E27-F27</f>
        <v/>
      </c>
      <c r="H27" s="8">
        <f>INDEX($M$9:$M$15,C27)</f>
        <v/>
      </c>
      <c r="I27" s="8">
        <f>F27+H27</f>
        <v/>
      </c>
      <c r="J27" s="8">
        <f>E27-I27</f>
        <v/>
      </c>
    </row>
    <row r="28">
      <c r="A28" s="5" t="n">
        <v>24</v>
      </c>
      <c r="B28" s="6" t="n">
        <v>46120</v>
      </c>
      <c r="C28" s="5">
        <f>WEEKDAY(B28,2)</f>
        <v/>
      </c>
      <c r="D28" s="7" t="n">
        <v>89.4696</v>
      </c>
      <c r="E28" s="8">
        <f>LN(D28)</f>
        <v/>
      </c>
      <c r="F28" s="8">
        <f>$M$6+$M$5*A28</f>
        <v/>
      </c>
      <c r="G28" s="8">
        <f>E28-F28</f>
        <v/>
      </c>
      <c r="H28" s="8">
        <f>INDEX($M$9:$M$15,C28)</f>
        <v/>
      </c>
      <c r="I28" s="8">
        <f>F28+H28</f>
        <v/>
      </c>
      <c r="J28" s="8">
        <f>E28-I28</f>
        <v/>
      </c>
    </row>
    <row r="29">
      <c r="A29" s="5" t="n">
        <v>25</v>
      </c>
      <c r="B29" s="6" t="n">
        <v>46121</v>
      </c>
      <c r="C29" s="5">
        <f>WEEKDAY(B29,2)</f>
        <v/>
      </c>
      <c r="D29" s="7" t="n">
        <v>82.0855</v>
      </c>
      <c r="E29" s="8">
        <f>LN(D29)</f>
        <v/>
      </c>
      <c r="F29" s="8">
        <f>$M$6+$M$5*A29</f>
        <v/>
      </c>
      <c r="G29" s="8">
        <f>E29-F29</f>
        <v/>
      </c>
      <c r="H29" s="8">
        <f>INDEX($M$9:$M$15,C29)</f>
        <v/>
      </c>
      <c r="I29" s="8">
        <f>F29+H29</f>
        <v/>
      </c>
      <c r="J29" s="8">
        <f>E29-I29</f>
        <v/>
      </c>
    </row>
    <row r="30">
      <c r="A30" s="5" t="n">
        <v>26</v>
      </c>
      <c r="B30" s="6" t="n">
        <v>46122</v>
      </c>
      <c r="C30" s="5">
        <f>WEEKDAY(B30,2)</f>
        <v/>
      </c>
      <c r="D30" s="7" t="n">
        <v>76.8185</v>
      </c>
      <c r="E30" s="8">
        <f>LN(D30)</f>
        <v/>
      </c>
      <c r="F30" s="8">
        <f>$M$6+$M$5*A30</f>
        <v/>
      </c>
      <c r="G30" s="8">
        <f>E30-F30</f>
        <v/>
      </c>
      <c r="H30" s="8">
        <f>INDEX($M$9:$M$15,C30)</f>
        <v/>
      </c>
      <c r="I30" s="8">
        <f>F30+H30</f>
        <v/>
      </c>
      <c r="J30" s="8">
        <f>E30-I30</f>
        <v/>
      </c>
    </row>
    <row r="31">
      <c r="A31" s="5" t="n">
        <v>27</v>
      </c>
      <c r="B31" s="6" t="n">
        <v>46123</v>
      </c>
      <c r="C31" s="5">
        <f>WEEKDAY(B31,2)</f>
        <v/>
      </c>
      <c r="D31" s="7" t="n">
        <v>63.2943</v>
      </c>
      <c r="E31" s="8">
        <f>LN(D31)</f>
        <v/>
      </c>
      <c r="F31" s="8">
        <f>$M$6+$M$5*A31</f>
        <v/>
      </c>
      <c r="G31" s="8">
        <f>E31-F31</f>
        <v/>
      </c>
      <c r="H31" s="8">
        <f>INDEX($M$9:$M$15,C31)</f>
        <v/>
      </c>
      <c r="I31" s="8">
        <f>F31+H31</f>
        <v/>
      </c>
      <c r="J31" s="8">
        <f>E31-I31</f>
        <v/>
      </c>
    </row>
    <row r="32">
      <c r="A32" s="5" t="n">
        <v>28</v>
      </c>
      <c r="B32" s="6" t="n">
        <v>46124</v>
      </c>
      <c r="C32" s="5">
        <f>WEEKDAY(B32,2)</f>
        <v/>
      </c>
      <c r="D32" s="7" t="n">
        <v>69.1456</v>
      </c>
      <c r="E32" s="8">
        <f>LN(D32)</f>
        <v/>
      </c>
      <c r="F32" s="8">
        <f>$M$6+$M$5*A32</f>
        <v/>
      </c>
      <c r="G32" s="8">
        <f>E32-F32</f>
        <v/>
      </c>
      <c r="H32" s="8">
        <f>INDEX($M$9:$M$15,C32)</f>
        <v/>
      </c>
      <c r="I32" s="8">
        <f>F32+H32</f>
        <v/>
      </c>
      <c r="J32" s="8">
        <f>E32-I32</f>
        <v/>
      </c>
    </row>
    <row r="33">
      <c r="A33" s="5" t="n">
        <v>29</v>
      </c>
      <c r="B33" s="6" t="n">
        <v>46125</v>
      </c>
      <c r="C33" s="5">
        <f>WEEKDAY(B33,2)</f>
        <v/>
      </c>
      <c r="D33" s="7" t="n">
        <v>85.44329999999999</v>
      </c>
      <c r="E33" s="8">
        <f>LN(D33)</f>
        <v/>
      </c>
      <c r="F33" s="8">
        <f>$M$6+$M$5*A33</f>
        <v/>
      </c>
      <c r="G33" s="8">
        <f>E33-F33</f>
        <v/>
      </c>
      <c r="H33" s="8">
        <f>INDEX($M$9:$M$15,C33)</f>
        <v/>
      </c>
      <c r="I33" s="8">
        <f>F33+H33</f>
        <v/>
      </c>
      <c r="J33" s="8">
        <f>E33-I33</f>
        <v/>
      </c>
    </row>
    <row r="34">
      <c r="A34" s="5" t="n">
        <v>30</v>
      </c>
      <c r="B34" s="6" t="n">
        <v>46126</v>
      </c>
      <c r="C34" s="5">
        <f>WEEKDAY(B34,2)</f>
        <v/>
      </c>
      <c r="D34" s="7" t="n">
        <v>86.7628</v>
      </c>
      <c r="E34" s="8">
        <f>LN(D34)</f>
        <v/>
      </c>
      <c r="F34" s="8">
        <f>$M$6+$M$5*A34</f>
        <v/>
      </c>
      <c r="G34" s="8">
        <f>E34-F34</f>
        <v/>
      </c>
      <c r="H34" s="8">
        <f>INDEX($M$9:$M$15,C34)</f>
        <v/>
      </c>
      <c r="I34" s="8">
        <f>F34+H34</f>
        <v/>
      </c>
      <c r="J34" s="8">
        <f>E34-I34</f>
        <v/>
      </c>
    </row>
    <row r="35">
      <c r="A35" s="5" t="n">
        <v>31</v>
      </c>
      <c r="B35" s="6" t="n">
        <v>46127</v>
      </c>
      <c r="C35" s="5">
        <f>WEEKDAY(B35,2)</f>
        <v/>
      </c>
      <c r="D35" s="7" t="n">
        <v>89.43640000000001</v>
      </c>
      <c r="E35" s="8">
        <f>LN(D35)</f>
        <v/>
      </c>
      <c r="F35" s="8">
        <f>$M$6+$M$5*A35</f>
        <v/>
      </c>
      <c r="G35" s="8">
        <f>E35-F35</f>
        <v/>
      </c>
      <c r="H35" s="8">
        <f>INDEX($M$9:$M$15,C35)</f>
        <v/>
      </c>
      <c r="I35" s="8">
        <f>F35+H35</f>
        <v/>
      </c>
      <c r="J35" s="8">
        <f>E35-I35</f>
        <v/>
      </c>
    </row>
    <row r="36">
      <c r="A36" s="5" t="n">
        <v>32</v>
      </c>
      <c r="B36" s="6" t="n">
        <v>46128</v>
      </c>
      <c r="C36" s="5">
        <f>WEEKDAY(B36,2)</f>
        <v/>
      </c>
      <c r="D36" s="7" t="n">
        <v>71.66370000000001</v>
      </c>
      <c r="E36" s="8">
        <f>LN(D36)</f>
        <v/>
      </c>
      <c r="F36" s="8">
        <f>$M$6+$M$5*A36</f>
        <v/>
      </c>
      <c r="G36" s="8">
        <f>E36-F36</f>
        <v/>
      </c>
      <c r="H36" s="8">
        <f>INDEX($M$9:$M$15,C36)</f>
        <v/>
      </c>
      <c r="I36" s="8">
        <f>F36+H36</f>
        <v/>
      </c>
      <c r="J36" s="8">
        <f>E36-I36</f>
        <v/>
      </c>
    </row>
    <row r="37">
      <c r="A37" s="5" t="n">
        <v>33</v>
      </c>
      <c r="B37" s="6" t="n">
        <v>46129</v>
      </c>
      <c r="C37" s="5">
        <f>WEEKDAY(B37,2)</f>
        <v/>
      </c>
      <c r="D37" s="7" t="n">
        <v>72.4285</v>
      </c>
      <c r="E37" s="8">
        <f>LN(D37)</f>
        <v/>
      </c>
      <c r="F37" s="8">
        <f>$M$6+$M$5*A37</f>
        <v/>
      </c>
      <c r="G37" s="8">
        <f>E37-F37</f>
        <v/>
      </c>
      <c r="H37" s="8">
        <f>INDEX($M$9:$M$15,C37)</f>
        <v/>
      </c>
      <c r="I37" s="8">
        <f>F37+H37</f>
        <v/>
      </c>
      <c r="J37" s="8">
        <f>E37-I37</f>
        <v/>
      </c>
    </row>
    <row r="38">
      <c r="A38" s="5" t="n">
        <v>34</v>
      </c>
      <c r="B38" s="6" t="n">
        <v>46130</v>
      </c>
      <c r="C38" s="5">
        <f>WEEKDAY(B38,2)</f>
        <v/>
      </c>
      <c r="D38" s="7" t="n">
        <v>69.18210000000001</v>
      </c>
      <c r="E38" s="8">
        <f>LN(D38)</f>
        <v/>
      </c>
      <c r="F38" s="8">
        <f>$M$6+$M$5*A38</f>
        <v/>
      </c>
      <c r="G38" s="8">
        <f>E38-F38</f>
        <v/>
      </c>
      <c r="H38" s="8">
        <f>INDEX($M$9:$M$15,C38)</f>
        <v/>
      </c>
      <c r="I38" s="8">
        <f>F38+H38</f>
        <v/>
      </c>
      <c r="J38" s="8">
        <f>E38-I38</f>
        <v/>
      </c>
    </row>
    <row r="39">
      <c r="A39" s="5" t="n">
        <v>35</v>
      </c>
      <c r="B39" s="6" t="n">
        <v>46131</v>
      </c>
      <c r="C39" s="5">
        <f>WEEKDAY(B39,2)</f>
        <v/>
      </c>
      <c r="D39" s="7" t="n">
        <v>67.7102</v>
      </c>
      <c r="E39" s="8">
        <f>LN(D39)</f>
        <v/>
      </c>
      <c r="F39" s="8">
        <f>$M$6+$M$5*A39</f>
        <v/>
      </c>
      <c r="G39" s="8">
        <f>E39-F39</f>
        <v/>
      </c>
      <c r="H39" s="8">
        <f>INDEX($M$9:$M$15,C39)</f>
        <v/>
      </c>
      <c r="I39" s="8">
        <f>F39+H39</f>
        <v/>
      </c>
      <c r="J39" s="8">
        <f>E39-I39</f>
        <v/>
      </c>
    </row>
    <row r="40">
      <c r="A40" s="5" t="n">
        <v>36</v>
      </c>
      <c r="B40" s="6" t="n">
        <v>46132</v>
      </c>
      <c r="C40" s="5">
        <f>WEEKDAY(B40,2)</f>
        <v/>
      </c>
      <c r="D40" s="7" t="n">
        <v>82.9759</v>
      </c>
      <c r="E40" s="8">
        <f>LN(D40)</f>
        <v/>
      </c>
      <c r="F40" s="8">
        <f>$M$6+$M$5*A40</f>
        <v/>
      </c>
      <c r="G40" s="8">
        <f>E40-F40</f>
        <v/>
      </c>
      <c r="H40" s="8">
        <f>INDEX($M$9:$M$15,C40)</f>
        <v/>
      </c>
      <c r="I40" s="8">
        <f>F40+H40</f>
        <v/>
      </c>
      <c r="J40" s="8">
        <f>E40-I40</f>
        <v/>
      </c>
    </row>
    <row r="41">
      <c r="A41" s="5" t="n">
        <v>37</v>
      </c>
      <c r="B41" s="6" t="n">
        <v>46133</v>
      </c>
      <c r="C41" s="5">
        <f>WEEKDAY(B41,2)</f>
        <v/>
      </c>
      <c r="D41" s="7" t="n">
        <v>75.8159</v>
      </c>
      <c r="E41" s="8">
        <f>LN(D41)</f>
        <v/>
      </c>
      <c r="F41" s="8">
        <f>$M$6+$M$5*A41</f>
        <v/>
      </c>
      <c r="G41" s="8">
        <f>E41-F41</f>
        <v/>
      </c>
      <c r="H41" s="8">
        <f>INDEX($M$9:$M$15,C41)</f>
        <v/>
      </c>
      <c r="I41" s="8">
        <f>F41+H41</f>
        <v/>
      </c>
      <c r="J41" s="8">
        <f>E41-I41</f>
        <v/>
      </c>
    </row>
    <row r="42">
      <c r="A42" s="5" t="n">
        <v>38</v>
      </c>
      <c r="B42" s="6" t="n">
        <v>46134</v>
      </c>
      <c r="C42" s="5">
        <f>WEEKDAY(B42,2)</f>
        <v/>
      </c>
      <c r="D42" s="7" t="n">
        <v>81.1255</v>
      </c>
      <c r="E42" s="8">
        <f>LN(D42)</f>
        <v/>
      </c>
      <c r="F42" s="8">
        <f>$M$6+$M$5*A42</f>
        <v/>
      </c>
      <c r="G42" s="8">
        <f>E42-F42</f>
        <v/>
      </c>
      <c r="H42" s="8">
        <f>INDEX($M$9:$M$15,C42)</f>
        <v/>
      </c>
      <c r="I42" s="8">
        <f>F42+H42</f>
        <v/>
      </c>
      <c r="J42" s="8">
        <f>E42-I42</f>
        <v/>
      </c>
    </row>
    <row r="43">
      <c r="A43" s="5" t="n">
        <v>39</v>
      </c>
      <c r="B43" s="6" t="n">
        <v>46135</v>
      </c>
      <c r="C43" s="5">
        <f>WEEKDAY(B43,2)</f>
        <v/>
      </c>
      <c r="D43" s="7" t="n">
        <v>80.49639999999999</v>
      </c>
      <c r="E43" s="8">
        <f>LN(D43)</f>
        <v/>
      </c>
      <c r="F43" s="8">
        <f>$M$6+$M$5*A43</f>
        <v/>
      </c>
      <c r="G43" s="8">
        <f>E43-F43</f>
        <v/>
      </c>
      <c r="H43" s="8">
        <f>INDEX($M$9:$M$15,C43)</f>
        <v/>
      </c>
      <c r="I43" s="8">
        <f>F43+H43</f>
        <v/>
      </c>
      <c r="J43" s="8">
        <f>E43-I43</f>
        <v/>
      </c>
    </row>
    <row r="44">
      <c r="A44" s="5" t="n">
        <v>40</v>
      </c>
      <c r="B44" s="6" t="n">
        <v>46136</v>
      </c>
      <c r="C44" s="5">
        <f>WEEKDAY(B44,2)</f>
        <v/>
      </c>
      <c r="D44" s="7" t="n">
        <v>86.3096</v>
      </c>
      <c r="E44" s="8">
        <f>LN(D44)</f>
        <v/>
      </c>
      <c r="F44" s="8">
        <f>$M$6+$M$5*A44</f>
        <v/>
      </c>
      <c r="G44" s="8">
        <f>E44-F44</f>
        <v/>
      </c>
      <c r="H44" s="8">
        <f>INDEX($M$9:$M$15,C44)</f>
        <v/>
      </c>
      <c r="I44" s="8">
        <f>F44+H44</f>
        <v/>
      </c>
      <c r="J44" s="8">
        <f>E44-I44</f>
        <v/>
      </c>
    </row>
    <row r="45">
      <c r="A45" s="5" t="n">
        <v>41</v>
      </c>
      <c r="B45" s="6" t="n">
        <v>46137</v>
      </c>
      <c r="C45" s="5">
        <f>WEEKDAY(B45,2)</f>
        <v/>
      </c>
      <c r="D45" s="7" t="n">
        <v>76.3847</v>
      </c>
      <c r="E45" s="8">
        <f>LN(D45)</f>
        <v/>
      </c>
      <c r="F45" s="8">
        <f>$M$6+$M$5*A45</f>
        <v/>
      </c>
      <c r="G45" s="8">
        <f>E45-F45</f>
        <v/>
      </c>
      <c r="H45" s="8">
        <f>INDEX($M$9:$M$15,C45)</f>
        <v/>
      </c>
      <c r="I45" s="8">
        <f>F45+H45</f>
        <v/>
      </c>
      <c r="J45" s="8">
        <f>E45-I45</f>
        <v/>
      </c>
    </row>
    <row r="46">
      <c r="A46" s="5" t="n">
        <v>42</v>
      </c>
      <c r="B46" s="6" t="n">
        <v>46138</v>
      </c>
      <c r="C46" s="5">
        <f>WEEKDAY(B46,2)</f>
        <v/>
      </c>
      <c r="D46" s="7" t="n">
        <v>65.637</v>
      </c>
      <c r="E46" s="8">
        <f>LN(D46)</f>
        <v/>
      </c>
      <c r="F46" s="8">
        <f>$M$6+$M$5*A46</f>
        <v/>
      </c>
      <c r="G46" s="8">
        <f>E46-F46</f>
        <v/>
      </c>
      <c r="H46" s="8">
        <f>INDEX($M$9:$M$15,C46)</f>
        <v/>
      </c>
      <c r="I46" s="8">
        <f>F46+H46</f>
        <v/>
      </c>
      <c r="J46" s="8">
        <f>E46-I46</f>
        <v/>
      </c>
    </row>
    <row r="47">
      <c r="A47" s="5" t="n">
        <v>43</v>
      </c>
      <c r="B47" s="6" t="n">
        <v>46139</v>
      </c>
      <c r="C47" s="5">
        <f>WEEKDAY(B47,2)</f>
        <v/>
      </c>
      <c r="D47" s="7" t="n">
        <v>100.6165</v>
      </c>
      <c r="E47" s="8">
        <f>LN(D47)</f>
        <v/>
      </c>
      <c r="F47" s="8">
        <f>$M$6+$M$5*A47</f>
        <v/>
      </c>
      <c r="G47" s="8">
        <f>E47-F47</f>
        <v/>
      </c>
      <c r="H47" s="8">
        <f>INDEX($M$9:$M$15,C47)</f>
        <v/>
      </c>
      <c r="I47" s="8">
        <f>F47+H47</f>
        <v/>
      </c>
      <c r="J47" s="8">
        <f>E47-I47</f>
        <v/>
      </c>
    </row>
    <row r="48">
      <c r="A48" s="5" t="n">
        <v>44</v>
      </c>
      <c r="B48" s="6" t="n">
        <v>46140</v>
      </c>
      <c r="C48" s="5">
        <f>WEEKDAY(B48,2)</f>
        <v/>
      </c>
      <c r="D48" s="7" t="n">
        <v>98.931</v>
      </c>
      <c r="E48" s="8">
        <f>LN(D48)</f>
        <v/>
      </c>
      <c r="F48" s="8">
        <f>$M$6+$M$5*A48</f>
        <v/>
      </c>
      <c r="G48" s="8">
        <f>E48-F48</f>
        <v/>
      </c>
      <c r="H48" s="8">
        <f>INDEX($M$9:$M$15,C48)</f>
        <v/>
      </c>
      <c r="I48" s="8">
        <f>F48+H48</f>
        <v/>
      </c>
      <c r="J48" s="8">
        <f>E48-I48</f>
        <v/>
      </c>
    </row>
    <row r="49">
      <c r="A49" s="5" t="n">
        <v>45</v>
      </c>
      <c r="B49" s="6" t="n">
        <v>46141</v>
      </c>
      <c r="C49" s="5">
        <f>WEEKDAY(B49,2)</f>
        <v/>
      </c>
      <c r="D49" s="7" t="n">
        <v>83.48</v>
      </c>
      <c r="E49" s="8">
        <f>LN(D49)</f>
        <v/>
      </c>
      <c r="F49" s="8">
        <f>$M$6+$M$5*A49</f>
        <v/>
      </c>
      <c r="G49" s="8">
        <f>E49-F49</f>
        <v/>
      </c>
      <c r="H49" s="8">
        <f>INDEX($M$9:$M$15,C49)</f>
        <v/>
      </c>
      <c r="I49" s="8">
        <f>F49+H49</f>
        <v/>
      </c>
      <c r="J49" s="8">
        <f>E49-I49</f>
        <v/>
      </c>
    </row>
    <row r="50">
      <c r="A50" s="5" t="n">
        <v>46</v>
      </c>
      <c r="B50" s="6" t="n">
        <v>46142</v>
      </c>
      <c r="C50" s="5">
        <f>WEEKDAY(B50,2)</f>
        <v/>
      </c>
      <c r="D50" s="7" t="n">
        <v>76.73139999999999</v>
      </c>
      <c r="E50" s="8">
        <f>LN(D50)</f>
        <v/>
      </c>
      <c r="F50" s="8">
        <f>$M$6+$M$5*A50</f>
        <v/>
      </c>
      <c r="G50" s="8">
        <f>E50-F50</f>
        <v/>
      </c>
      <c r="H50" s="8">
        <f>INDEX($M$9:$M$15,C50)</f>
        <v/>
      </c>
      <c r="I50" s="8">
        <f>F50+H50</f>
        <v/>
      </c>
      <c r="J50" s="8">
        <f>E50-I50</f>
        <v/>
      </c>
    </row>
    <row r="51">
      <c r="A51" s="5" t="n">
        <v>47</v>
      </c>
      <c r="B51" s="6" t="n">
        <v>46143</v>
      </c>
      <c r="C51" s="5">
        <f>WEEKDAY(B51,2)</f>
        <v/>
      </c>
      <c r="D51" s="7" t="n">
        <v>81.16289999999999</v>
      </c>
      <c r="E51" s="8">
        <f>LN(D51)</f>
        <v/>
      </c>
      <c r="F51" s="8">
        <f>$M$6+$M$5*A51</f>
        <v/>
      </c>
      <c r="G51" s="8">
        <f>E51-F51</f>
        <v/>
      </c>
      <c r="H51" s="8">
        <f>INDEX($M$9:$M$15,C51)</f>
        <v/>
      </c>
      <c r="I51" s="8">
        <f>F51+H51</f>
        <v/>
      </c>
      <c r="J51" s="8">
        <f>E51-I51</f>
        <v/>
      </c>
    </row>
    <row r="52">
      <c r="A52" s="5" t="n">
        <v>48</v>
      </c>
      <c r="B52" s="6" t="n">
        <v>46144</v>
      </c>
      <c r="C52" s="5">
        <f>WEEKDAY(B52,2)</f>
        <v/>
      </c>
      <c r="D52" s="7" t="n">
        <v>73.9179</v>
      </c>
      <c r="E52" s="8">
        <f>LN(D52)</f>
        <v/>
      </c>
      <c r="F52" s="8">
        <f>$M$6+$M$5*A52</f>
        <v/>
      </c>
      <c r="G52" s="8">
        <f>E52-F52</f>
        <v/>
      </c>
      <c r="H52" s="8">
        <f>INDEX($M$9:$M$15,C52)</f>
        <v/>
      </c>
      <c r="I52" s="8">
        <f>F52+H52</f>
        <v/>
      </c>
      <c r="J52" s="8">
        <f>E52-I52</f>
        <v/>
      </c>
    </row>
    <row r="53">
      <c r="A53" s="5" t="n">
        <v>49</v>
      </c>
      <c r="B53" s="6" t="n">
        <v>46145</v>
      </c>
      <c r="C53" s="5">
        <f>WEEKDAY(B53,2)</f>
        <v/>
      </c>
      <c r="D53" s="7" t="n">
        <v>81.4374</v>
      </c>
      <c r="E53" s="8">
        <f>LN(D53)</f>
        <v/>
      </c>
      <c r="F53" s="8">
        <f>$M$6+$M$5*A53</f>
        <v/>
      </c>
      <c r="G53" s="8">
        <f>E53-F53</f>
        <v/>
      </c>
      <c r="H53" s="8">
        <f>INDEX($M$9:$M$15,C53)</f>
        <v/>
      </c>
      <c r="I53" s="8">
        <f>F53+H53</f>
        <v/>
      </c>
      <c r="J53" s="8">
        <f>E53-I53</f>
        <v/>
      </c>
    </row>
    <row r="54">
      <c r="A54" s="5" t="n">
        <v>50</v>
      </c>
      <c r="B54" s="6" t="n">
        <v>46146</v>
      </c>
      <c r="C54" s="5">
        <f>WEEKDAY(B54,2)</f>
        <v/>
      </c>
      <c r="D54" s="7" t="n">
        <v>78.0164</v>
      </c>
      <c r="E54" s="8">
        <f>LN(D54)</f>
        <v/>
      </c>
      <c r="F54" s="8">
        <f>$M$6+$M$5*A54</f>
        <v/>
      </c>
      <c r="G54" s="8">
        <f>E54-F54</f>
        <v/>
      </c>
      <c r="H54" s="8">
        <f>INDEX($M$9:$M$15,C54)</f>
        <v/>
      </c>
      <c r="I54" s="8">
        <f>F54+H54</f>
        <v/>
      </c>
      <c r="J54" s="8">
        <f>E54-I54</f>
        <v/>
      </c>
    </row>
    <row r="55">
      <c r="A55" s="5" t="n">
        <v>51</v>
      </c>
      <c r="B55" s="6" t="n">
        <v>46147</v>
      </c>
      <c r="C55" s="5">
        <f>WEEKDAY(B55,2)</f>
        <v/>
      </c>
      <c r="D55" s="7" t="n">
        <v>97.6041</v>
      </c>
      <c r="E55" s="8">
        <f>LN(D55)</f>
        <v/>
      </c>
      <c r="F55" s="8">
        <f>$M$6+$M$5*A55</f>
        <v/>
      </c>
      <c r="G55" s="8">
        <f>E55-F55</f>
        <v/>
      </c>
      <c r="H55" s="8">
        <f>INDEX($M$9:$M$15,C55)</f>
        <v/>
      </c>
      <c r="I55" s="8">
        <f>F55+H55</f>
        <v/>
      </c>
      <c r="J55" s="8">
        <f>E55-I55</f>
        <v/>
      </c>
    </row>
    <row r="56">
      <c r="A56" s="5" t="n">
        <v>52</v>
      </c>
      <c r="B56" s="6" t="n">
        <v>46148</v>
      </c>
      <c r="C56" s="5">
        <f>WEEKDAY(B56,2)</f>
        <v/>
      </c>
      <c r="D56" s="7" t="n">
        <v>81.9404</v>
      </c>
      <c r="E56" s="8">
        <f>LN(D56)</f>
        <v/>
      </c>
      <c r="F56" s="8">
        <f>$M$6+$M$5*A56</f>
        <v/>
      </c>
      <c r="G56" s="8">
        <f>E56-F56</f>
        <v/>
      </c>
      <c r="H56" s="8">
        <f>INDEX($M$9:$M$15,C56)</f>
        <v/>
      </c>
      <c r="I56" s="8">
        <f>F56+H56</f>
        <v/>
      </c>
      <c r="J56" s="8">
        <f>E56-I56</f>
        <v/>
      </c>
    </row>
    <row r="57">
      <c r="A57" s="5" t="n">
        <v>53</v>
      </c>
      <c r="B57" s="6" t="n">
        <v>46149</v>
      </c>
      <c r="C57" s="5">
        <f>WEEKDAY(B57,2)</f>
        <v/>
      </c>
      <c r="D57" s="7" t="n">
        <v>75.327</v>
      </c>
      <c r="E57" s="8">
        <f>LN(D57)</f>
        <v/>
      </c>
      <c r="F57" s="8">
        <f>$M$6+$M$5*A57</f>
        <v/>
      </c>
      <c r="G57" s="8">
        <f>E57-F57</f>
        <v/>
      </c>
      <c r="H57" s="8">
        <f>INDEX($M$9:$M$15,C57)</f>
        <v/>
      </c>
      <c r="I57" s="8">
        <f>F57+H57</f>
        <v/>
      </c>
      <c r="J57" s="8">
        <f>E57-I57</f>
        <v/>
      </c>
    </row>
    <row r="58">
      <c r="A58" s="5" t="n">
        <v>54</v>
      </c>
      <c r="B58" s="6" t="n">
        <v>46150</v>
      </c>
      <c r="C58" s="5">
        <f>WEEKDAY(B58,2)</f>
        <v/>
      </c>
      <c r="D58" s="7" t="n">
        <v>73.8409</v>
      </c>
      <c r="E58" s="8">
        <f>LN(D58)</f>
        <v/>
      </c>
      <c r="F58" s="8">
        <f>$M$6+$M$5*A58</f>
        <v/>
      </c>
      <c r="G58" s="8">
        <f>E58-F58</f>
        <v/>
      </c>
      <c r="H58" s="8">
        <f>INDEX($M$9:$M$15,C58)</f>
        <v/>
      </c>
      <c r="I58" s="8">
        <f>F58+H58</f>
        <v/>
      </c>
      <c r="J58" s="8">
        <f>E58-I58</f>
        <v/>
      </c>
    </row>
    <row r="59">
      <c r="A59" s="5" t="n">
        <v>55</v>
      </c>
      <c r="B59" s="6" t="n">
        <v>46151</v>
      </c>
      <c r="C59" s="5">
        <f>WEEKDAY(B59,2)</f>
        <v/>
      </c>
      <c r="D59" s="7" t="n">
        <v>64.72320000000001</v>
      </c>
      <c r="E59" s="8">
        <f>LN(D59)</f>
        <v/>
      </c>
      <c r="F59" s="8">
        <f>$M$6+$M$5*A59</f>
        <v/>
      </c>
      <c r="G59" s="8">
        <f>E59-F59</f>
        <v/>
      </c>
      <c r="H59" s="8">
        <f>INDEX($M$9:$M$15,C59)</f>
        <v/>
      </c>
      <c r="I59" s="8">
        <f>F59+H59</f>
        <v/>
      </c>
      <c r="J59" s="8">
        <f>E59-I59</f>
        <v/>
      </c>
    </row>
    <row r="60">
      <c r="A60" s="5" t="n">
        <v>56</v>
      </c>
      <c r="B60" s="6" t="n">
        <v>46152</v>
      </c>
      <c r="C60" s="5">
        <f>WEEKDAY(B60,2)</f>
        <v/>
      </c>
      <c r="D60" s="7" t="n">
        <v>73.4012</v>
      </c>
      <c r="E60" s="8">
        <f>LN(D60)</f>
        <v/>
      </c>
      <c r="F60" s="8">
        <f>$M$6+$M$5*A60</f>
        <v/>
      </c>
      <c r="G60" s="8">
        <f>E60-F60</f>
        <v/>
      </c>
      <c r="H60" s="8">
        <f>INDEX($M$9:$M$15,C60)</f>
        <v/>
      </c>
      <c r="I60" s="8">
        <f>F60+H60</f>
        <v/>
      </c>
      <c r="J60" s="8">
        <f>E60-I60</f>
        <v/>
      </c>
    </row>
    <row r="61">
      <c r="A61" s="5" t="n">
        <v>57</v>
      </c>
      <c r="B61" s="6" t="n">
        <v>46153</v>
      </c>
      <c r="C61" s="5">
        <f>WEEKDAY(B61,2)</f>
        <v/>
      </c>
      <c r="D61" s="7" t="n">
        <v>99.9036</v>
      </c>
      <c r="E61" s="8">
        <f>LN(D61)</f>
        <v/>
      </c>
      <c r="F61" s="8">
        <f>$M$6+$M$5*A61</f>
        <v/>
      </c>
      <c r="G61" s="8">
        <f>E61-F61</f>
        <v/>
      </c>
      <c r="H61" s="8">
        <f>INDEX($M$9:$M$15,C61)</f>
        <v/>
      </c>
      <c r="I61" s="8">
        <f>F61+H61</f>
        <v/>
      </c>
      <c r="J61" s="8">
        <f>E61-I61</f>
        <v/>
      </c>
    </row>
    <row r="62">
      <c r="A62" s="5" t="n">
        <v>58</v>
      </c>
      <c r="B62" s="6" t="n">
        <v>46154</v>
      </c>
      <c r="C62" s="5">
        <f>WEEKDAY(B62,2)</f>
        <v/>
      </c>
      <c r="D62" s="7" t="n">
        <v>96.71599999999999</v>
      </c>
      <c r="E62" s="8">
        <f>LN(D62)</f>
        <v/>
      </c>
      <c r="F62" s="8">
        <f>$M$6+$M$5*A62</f>
        <v/>
      </c>
      <c r="G62" s="8">
        <f>E62-F62</f>
        <v/>
      </c>
      <c r="H62" s="8">
        <f>INDEX($M$9:$M$15,C62)</f>
        <v/>
      </c>
      <c r="I62" s="8">
        <f>F62+H62</f>
        <v/>
      </c>
      <c r="J62" s="8">
        <f>E62-I62</f>
        <v/>
      </c>
    </row>
    <row r="63">
      <c r="A63" s="5" t="n">
        <v>59</v>
      </c>
      <c r="B63" s="6" t="n">
        <v>46155</v>
      </c>
      <c r="C63" s="5">
        <f>WEEKDAY(B63,2)</f>
        <v/>
      </c>
      <c r="D63" s="7" t="n">
        <v>68.1037</v>
      </c>
      <c r="E63" s="8">
        <f>LN(D63)</f>
        <v/>
      </c>
      <c r="F63" s="8">
        <f>$M$6+$M$5*A63</f>
        <v/>
      </c>
      <c r="G63" s="8">
        <f>E63-F63</f>
        <v/>
      </c>
      <c r="H63" s="8">
        <f>INDEX($M$9:$M$15,C63)</f>
        <v/>
      </c>
      <c r="I63" s="8">
        <f>F63+H63</f>
        <v/>
      </c>
      <c r="J63" s="8">
        <f>E63-I63</f>
        <v/>
      </c>
    </row>
    <row r="64">
      <c r="A64" s="5" t="n">
        <v>60</v>
      </c>
      <c r="B64" s="6" t="n">
        <v>46156</v>
      </c>
      <c r="C64" s="5">
        <f>WEEKDAY(B64,2)</f>
        <v/>
      </c>
      <c r="D64" s="7" t="n">
        <v>65.44710000000001</v>
      </c>
      <c r="E64" s="8">
        <f>LN(D64)</f>
        <v/>
      </c>
      <c r="F64" s="8">
        <f>$M$6+$M$5*A64</f>
        <v/>
      </c>
      <c r="G64" s="8">
        <f>E64-F64</f>
        <v/>
      </c>
      <c r="H64" s="8">
        <f>INDEX($M$9:$M$15,C64)</f>
        <v/>
      </c>
      <c r="I64" s="8">
        <f>F64+H64</f>
        <v/>
      </c>
      <c r="J64" s="8">
        <f>E64-I64</f>
        <v/>
      </c>
    </row>
    <row r="65">
      <c r="A65" s="5" t="n">
        <v>61</v>
      </c>
      <c r="B65" s="6" t="n">
        <v>46157</v>
      </c>
      <c r="C65" s="5">
        <f>WEEKDAY(B65,2)</f>
        <v/>
      </c>
      <c r="D65" s="7" t="n">
        <v>80.00920000000001</v>
      </c>
      <c r="E65" s="8">
        <f>LN(D65)</f>
        <v/>
      </c>
      <c r="F65" s="8">
        <f>$M$6+$M$5*A65</f>
        <v/>
      </c>
      <c r="G65" s="8">
        <f>E65-F65</f>
        <v/>
      </c>
      <c r="H65" s="8">
        <f>INDEX($M$9:$M$15,C65)</f>
        <v/>
      </c>
      <c r="I65" s="8">
        <f>F65+H65</f>
        <v/>
      </c>
      <c r="J65" s="8">
        <f>E65-I65</f>
        <v/>
      </c>
    </row>
    <row r="66">
      <c r="A66" s="5" t="n">
        <v>62</v>
      </c>
      <c r="B66" s="6" t="n">
        <v>46158</v>
      </c>
      <c r="C66" s="5">
        <f>WEEKDAY(B66,2)</f>
        <v/>
      </c>
      <c r="D66" s="7" t="n">
        <v>52.3235</v>
      </c>
      <c r="E66" s="8">
        <f>LN(D66)</f>
        <v/>
      </c>
      <c r="F66" s="8">
        <f>$M$6+$M$5*A66</f>
        <v/>
      </c>
      <c r="G66" s="8">
        <f>E66-F66</f>
        <v/>
      </c>
      <c r="H66" s="8">
        <f>INDEX($M$9:$M$15,C66)</f>
        <v/>
      </c>
      <c r="I66" s="8">
        <f>F66+H66</f>
        <v/>
      </c>
      <c r="J66" s="8">
        <f>E66-I66</f>
        <v/>
      </c>
    </row>
    <row r="67">
      <c r="A67" s="5" t="n">
        <v>63</v>
      </c>
      <c r="B67" s="6" t="n">
        <v>46159</v>
      </c>
      <c r="C67" s="5">
        <f>WEEKDAY(B67,2)</f>
        <v/>
      </c>
      <c r="D67" s="7" t="n">
        <v>64.1841</v>
      </c>
      <c r="E67" s="8">
        <f>LN(D67)</f>
        <v/>
      </c>
      <c r="F67" s="8">
        <f>$M$6+$M$5*A67</f>
        <v/>
      </c>
      <c r="G67" s="8">
        <f>E67-F67</f>
        <v/>
      </c>
      <c r="H67" s="8">
        <f>INDEX($M$9:$M$15,C67)</f>
        <v/>
      </c>
      <c r="I67" s="8">
        <f>F67+H67</f>
        <v/>
      </c>
      <c r="J67" s="8">
        <f>E67-I67</f>
        <v/>
      </c>
    </row>
    <row r="68">
      <c r="A68" s="5" t="n">
        <v>64</v>
      </c>
      <c r="B68" s="6" t="n">
        <v>46160</v>
      </c>
      <c r="C68" s="5">
        <f>WEEKDAY(B68,2)</f>
        <v/>
      </c>
      <c r="D68" s="7" t="n">
        <v>83.98399999999999</v>
      </c>
      <c r="E68" s="8">
        <f>LN(D68)</f>
        <v/>
      </c>
      <c r="F68" s="8">
        <f>$M$6+$M$5*A68</f>
        <v/>
      </c>
      <c r="G68" s="8">
        <f>E68-F68</f>
        <v/>
      </c>
      <c r="H68" s="8">
        <f>INDEX($M$9:$M$15,C68)</f>
        <v/>
      </c>
      <c r="I68" s="8">
        <f>F68+H68</f>
        <v/>
      </c>
      <c r="J68" s="8">
        <f>E68-I68</f>
        <v/>
      </c>
    </row>
    <row r="69">
      <c r="A69" s="5" t="n">
        <v>65</v>
      </c>
      <c r="B69" s="6" t="n">
        <v>46161</v>
      </c>
      <c r="C69" s="5">
        <f>WEEKDAY(B69,2)</f>
        <v/>
      </c>
      <c r="D69" s="7" t="n">
        <v>74.3776</v>
      </c>
      <c r="E69" s="8">
        <f>LN(D69)</f>
        <v/>
      </c>
      <c r="F69" s="8">
        <f>$M$6+$M$5*A69</f>
        <v/>
      </c>
      <c r="G69" s="8">
        <f>E69-F69</f>
        <v/>
      </c>
      <c r="H69" s="8">
        <f>INDEX($M$9:$M$15,C69)</f>
        <v/>
      </c>
      <c r="I69" s="8">
        <f>F69+H69</f>
        <v/>
      </c>
      <c r="J69" s="8">
        <f>E69-I69</f>
        <v/>
      </c>
    </row>
    <row r="70">
      <c r="A70" s="5" t="n">
        <v>66</v>
      </c>
      <c r="B70" s="6" t="n">
        <v>46162</v>
      </c>
      <c r="C70" s="5">
        <f>WEEKDAY(B70,2)</f>
        <v/>
      </c>
      <c r="D70" s="7" t="n">
        <v>71.145</v>
      </c>
      <c r="E70" s="8">
        <f>LN(D70)</f>
        <v/>
      </c>
      <c r="F70" s="8">
        <f>$M$6+$M$5*A70</f>
        <v/>
      </c>
      <c r="G70" s="8">
        <f>E70-F70</f>
        <v/>
      </c>
      <c r="H70" s="8">
        <f>INDEX($M$9:$M$15,C70)</f>
        <v/>
      </c>
      <c r="I70" s="8">
        <f>F70+H70</f>
        <v/>
      </c>
      <c r="J70" s="8">
        <f>E70-I70</f>
        <v/>
      </c>
    </row>
    <row r="71">
      <c r="A71" s="5" t="n">
        <v>67</v>
      </c>
      <c r="B71" s="6" t="n">
        <v>46163</v>
      </c>
      <c r="C71" s="5">
        <f>WEEKDAY(B71,2)</f>
        <v/>
      </c>
      <c r="D71" s="7" t="n">
        <v>78.5926</v>
      </c>
      <c r="E71" s="8">
        <f>LN(D71)</f>
        <v/>
      </c>
      <c r="F71" s="8">
        <f>$M$6+$M$5*A71</f>
        <v/>
      </c>
      <c r="G71" s="8">
        <f>E71-F71</f>
        <v/>
      </c>
      <c r="H71" s="8">
        <f>INDEX($M$9:$M$15,C71)</f>
        <v/>
      </c>
      <c r="I71" s="8">
        <f>F71+H71</f>
        <v/>
      </c>
      <c r="J71" s="8">
        <f>E71-I71</f>
        <v/>
      </c>
    </row>
    <row r="72">
      <c r="A72" s="5" t="n">
        <v>68</v>
      </c>
      <c r="B72" s="6" t="n">
        <v>46164</v>
      </c>
      <c r="C72" s="5">
        <f>WEEKDAY(B72,2)</f>
        <v/>
      </c>
      <c r="D72" s="7" t="n">
        <v>59.3571</v>
      </c>
      <c r="E72" s="8">
        <f>LN(D72)</f>
        <v/>
      </c>
      <c r="F72" s="8">
        <f>$M$6+$M$5*A72</f>
        <v/>
      </c>
      <c r="G72" s="8">
        <f>E72-F72</f>
        <v/>
      </c>
      <c r="H72" s="8">
        <f>INDEX($M$9:$M$15,C72)</f>
        <v/>
      </c>
      <c r="I72" s="8">
        <f>F72+H72</f>
        <v/>
      </c>
      <c r="J72" s="8">
        <f>E72-I72</f>
        <v/>
      </c>
    </row>
    <row r="73">
      <c r="A73" s="5" t="n">
        <v>69</v>
      </c>
      <c r="B73" s="6" t="n">
        <v>46165</v>
      </c>
      <c r="C73" s="5">
        <f>WEEKDAY(B73,2)</f>
        <v/>
      </c>
      <c r="D73" s="7" t="n">
        <v>54.6673</v>
      </c>
      <c r="E73" s="8">
        <f>LN(D73)</f>
        <v/>
      </c>
      <c r="F73" s="8">
        <f>$M$6+$M$5*A73</f>
        <v/>
      </c>
      <c r="G73" s="8">
        <f>E73-F73</f>
        <v/>
      </c>
      <c r="H73" s="8">
        <f>INDEX($M$9:$M$15,C73)</f>
        <v/>
      </c>
      <c r="I73" s="8">
        <f>F73+H73</f>
        <v/>
      </c>
      <c r="J73" s="8">
        <f>E73-I73</f>
        <v/>
      </c>
    </row>
    <row r="74">
      <c r="A74" s="5" t="n">
        <v>70</v>
      </c>
      <c r="B74" s="6" t="n">
        <v>46166</v>
      </c>
      <c r="C74" s="5">
        <f>WEEKDAY(B74,2)</f>
        <v/>
      </c>
      <c r="D74" s="7" t="n">
        <v>69.1337</v>
      </c>
      <c r="E74" s="8">
        <f>LN(D74)</f>
        <v/>
      </c>
      <c r="F74" s="8">
        <f>$M$6+$M$5*A74</f>
        <v/>
      </c>
      <c r="G74" s="8">
        <f>E74-F74</f>
        <v/>
      </c>
      <c r="H74" s="8">
        <f>INDEX($M$9:$M$15,C74)</f>
        <v/>
      </c>
      <c r="I74" s="8">
        <f>F74+H74</f>
        <v/>
      </c>
      <c r="J74" s="8">
        <f>E74-I74</f>
        <v/>
      </c>
    </row>
    <row r="75">
      <c r="A75" s="5" t="n">
        <v>71</v>
      </c>
      <c r="B75" s="6" t="n">
        <v>46167</v>
      </c>
      <c r="C75" s="5">
        <f>WEEKDAY(B75,2)</f>
        <v/>
      </c>
      <c r="D75" s="7" t="n">
        <v>72.5385</v>
      </c>
      <c r="E75" s="8">
        <f>LN(D75)</f>
        <v/>
      </c>
      <c r="F75" s="8">
        <f>$M$6+$M$5*A75</f>
        <v/>
      </c>
      <c r="G75" s="8">
        <f>E75-F75</f>
        <v/>
      </c>
      <c r="H75" s="8">
        <f>INDEX($M$9:$M$15,C75)</f>
        <v/>
      </c>
      <c r="I75" s="8">
        <f>F75+H75</f>
        <v/>
      </c>
      <c r="J75" s="8">
        <f>E75-I75</f>
        <v/>
      </c>
    </row>
    <row r="76">
      <c r="A76" s="5" t="n">
        <v>72</v>
      </c>
      <c r="B76" s="6" t="n">
        <v>46168</v>
      </c>
      <c r="C76" s="5">
        <f>WEEKDAY(B76,2)</f>
        <v/>
      </c>
      <c r="D76" s="7" t="n">
        <v>74.7295</v>
      </c>
      <c r="E76" s="8">
        <f>LN(D76)</f>
        <v/>
      </c>
      <c r="F76" s="8">
        <f>$M$6+$M$5*A76</f>
        <v/>
      </c>
      <c r="G76" s="8">
        <f>E76-F76</f>
        <v/>
      </c>
      <c r="H76" s="8">
        <f>INDEX($M$9:$M$15,C76)</f>
        <v/>
      </c>
      <c r="I76" s="8">
        <f>F76+H76</f>
        <v/>
      </c>
      <c r="J76" s="8">
        <f>E76-I76</f>
        <v/>
      </c>
    </row>
    <row r="77">
      <c r="A77" s="5" t="n">
        <v>73</v>
      </c>
      <c r="B77" s="6" t="n">
        <v>46169</v>
      </c>
      <c r="C77" s="5">
        <f>WEEKDAY(B77,2)</f>
        <v/>
      </c>
      <c r="D77" s="7" t="n">
        <v>89.69889999999999</v>
      </c>
      <c r="E77" s="8">
        <f>LN(D77)</f>
        <v/>
      </c>
      <c r="F77" s="8">
        <f>$M$6+$M$5*A77</f>
        <v/>
      </c>
      <c r="G77" s="8">
        <f>E77-F77</f>
        <v/>
      </c>
      <c r="H77" s="8">
        <f>INDEX($M$9:$M$15,C77)</f>
        <v/>
      </c>
      <c r="I77" s="8">
        <f>F77+H77</f>
        <v/>
      </c>
      <c r="J77" s="8">
        <f>E77-I77</f>
        <v/>
      </c>
    </row>
    <row r="78">
      <c r="A78" s="5" t="n">
        <v>74</v>
      </c>
      <c r="B78" s="6" t="n">
        <v>46170</v>
      </c>
      <c r="C78" s="5">
        <f>WEEKDAY(B78,2)</f>
        <v/>
      </c>
      <c r="D78" s="7" t="n">
        <v>68.11409999999999</v>
      </c>
      <c r="E78" s="8">
        <f>LN(D78)</f>
        <v/>
      </c>
      <c r="F78" s="8">
        <f>$M$6+$M$5*A78</f>
        <v/>
      </c>
      <c r="G78" s="8">
        <f>E78-F78</f>
        <v/>
      </c>
      <c r="H78" s="8">
        <f>INDEX($M$9:$M$15,C78)</f>
        <v/>
      </c>
      <c r="I78" s="8">
        <f>F78+H78</f>
        <v/>
      </c>
      <c r="J78" s="8">
        <f>E78-I78</f>
        <v/>
      </c>
    </row>
    <row r="79">
      <c r="A79" s="5" t="n">
        <v>75</v>
      </c>
      <c r="B79" s="6" t="n">
        <v>46171</v>
      </c>
      <c r="C79" s="5">
        <f>WEEKDAY(B79,2)</f>
        <v/>
      </c>
      <c r="D79" s="7" t="n">
        <v>70.4693</v>
      </c>
      <c r="E79" s="8">
        <f>LN(D79)</f>
        <v/>
      </c>
      <c r="F79" s="8">
        <f>$M$6+$M$5*A79</f>
        <v/>
      </c>
      <c r="G79" s="8">
        <f>E79-F79</f>
        <v/>
      </c>
      <c r="H79" s="8">
        <f>INDEX($M$9:$M$15,C79)</f>
        <v/>
      </c>
      <c r="I79" s="8">
        <f>F79+H79</f>
        <v/>
      </c>
      <c r="J79" s="8">
        <f>E79-I79</f>
        <v/>
      </c>
    </row>
    <row r="80">
      <c r="A80" s="5" t="n">
        <v>76</v>
      </c>
      <c r="B80" s="6" t="n">
        <v>46172</v>
      </c>
      <c r="C80" s="5">
        <f>WEEKDAY(B80,2)</f>
        <v/>
      </c>
      <c r="D80" s="7" t="n">
        <v>63.2432</v>
      </c>
      <c r="E80" s="8">
        <f>LN(D80)</f>
        <v/>
      </c>
      <c r="F80" s="8">
        <f>$M$6+$M$5*A80</f>
        <v/>
      </c>
      <c r="G80" s="8">
        <f>E80-F80</f>
        <v/>
      </c>
      <c r="H80" s="8">
        <f>INDEX($M$9:$M$15,C80)</f>
        <v/>
      </c>
      <c r="I80" s="8">
        <f>F80+H80</f>
        <v/>
      </c>
      <c r="J80" s="8">
        <f>E80-I80</f>
        <v/>
      </c>
    </row>
    <row r="81">
      <c r="A81" s="5" t="n">
        <v>77</v>
      </c>
      <c r="B81" s="6" t="n">
        <v>46173</v>
      </c>
      <c r="C81" s="5">
        <f>WEEKDAY(B81,2)</f>
        <v/>
      </c>
      <c r="D81" s="7" t="n">
        <v>70.3045</v>
      </c>
      <c r="E81" s="8">
        <f>LN(D81)</f>
        <v/>
      </c>
      <c r="F81" s="8">
        <f>$M$6+$M$5*A81</f>
        <v/>
      </c>
      <c r="G81" s="8">
        <f>E81-F81</f>
        <v/>
      </c>
      <c r="H81" s="8">
        <f>INDEX($M$9:$M$15,C81)</f>
        <v/>
      </c>
      <c r="I81" s="8">
        <f>F81+H81</f>
        <v/>
      </c>
      <c r="J81" s="8">
        <f>E81-I81</f>
        <v/>
      </c>
    </row>
    <row r="82">
      <c r="A82" s="5" t="n">
        <v>78</v>
      </c>
      <c r="B82" s="6" t="n">
        <v>46174</v>
      </c>
      <c r="C82" s="5">
        <f>WEEKDAY(B82,2)</f>
        <v/>
      </c>
      <c r="D82" s="7" t="n">
        <v>80.6592</v>
      </c>
      <c r="E82" s="8">
        <f>LN(D82)</f>
        <v/>
      </c>
      <c r="F82" s="8">
        <f>$M$6+$M$5*A82</f>
        <v/>
      </c>
      <c r="G82" s="8">
        <f>E82-F82</f>
        <v/>
      </c>
      <c r="H82" s="8">
        <f>INDEX($M$9:$M$15,C82)</f>
        <v/>
      </c>
      <c r="I82" s="8">
        <f>F82+H82</f>
        <v/>
      </c>
      <c r="J82" s="8">
        <f>E82-I82</f>
        <v/>
      </c>
    </row>
    <row r="83">
      <c r="A83" s="5" t="n">
        <v>79</v>
      </c>
      <c r="B83" s="6" t="n">
        <v>46175</v>
      </c>
      <c r="C83" s="5">
        <f>WEEKDAY(B83,2)</f>
        <v/>
      </c>
      <c r="D83" s="7" t="n">
        <v>96.92529999999999</v>
      </c>
      <c r="E83" s="8">
        <f>LN(D83)</f>
        <v/>
      </c>
      <c r="F83" s="8">
        <f>$M$6+$M$5*A83</f>
        <v/>
      </c>
      <c r="G83" s="8">
        <f>E83-F83</f>
        <v/>
      </c>
      <c r="H83" s="8">
        <f>INDEX($M$9:$M$15,C83)</f>
        <v/>
      </c>
      <c r="I83" s="8">
        <f>F83+H83</f>
        <v/>
      </c>
      <c r="J83" s="8">
        <f>E83-I83</f>
        <v/>
      </c>
    </row>
    <row r="84">
      <c r="A84" s="5" t="n">
        <v>80</v>
      </c>
      <c r="B84" s="6" t="n">
        <v>46176</v>
      </c>
      <c r="C84" s="5">
        <f>WEEKDAY(B84,2)</f>
        <v/>
      </c>
      <c r="D84" s="7" t="n">
        <v>79.7423</v>
      </c>
      <c r="E84" s="8">
        <f>LN(D84)</f>
        <v/>
      </c>
      <c r="F84" s="8">
        <f>$M$6+$M$5*A84</f>
        <v/>
      </c>
      <c r="G84" s="8">
        <f>E84-F84</f>
        <v/>
      </c>
      <c r="H84" s="8">
        <f>INDEX($M$9:$M$15,C84)</f>
        <v/>
      </c>
      <c r="I84" s="8">
        <f>F84+H84</f>
        <v/>
      </c>
      <c r="J84" s="8">
        <f>E84-I84</f>
        <v/>
      </c>
    </row>
    <row r="85">
      <c r="A85" s="5" t="n">
        <v>81</v>
      </c>
      <c r="B85" s="6" t="n">
        <v>46177</v>
      </c>
      <c r="C85" s="5">
        <f>WEEKDAY(B85,2)</f>
        <v/>
      </c>
      <c r="D85" s="7" t="n">
        <v>75.3049</v>
      </c>
      <c r="E85" s="8">
        <f>LN(D85)</f>
        <v/>
      </c>
      <c r="F85" s="8">
        <f>$M$6+$M$5*A85</f>
        <v/>
      </c>
      <c r="G85" s="8">
        <f>E85-F85</f>
        <v/>
      </c>
      <c r="H85" s="8">
        <f>INDEX($M$9:$M$15,C85)</f>
        <v/>
      </c>
      <c r="I85" s="8">
        <f>F85+H85</f>
        <v/>
      </c>
      <c r="J85" s="8">
        <f>E85-I85</f>
        <v/>
      </c>
    </row>
    <row r="86">
      <c r="A86" s="5" t="n">
        <v>82</v>
      </c>
      <c r="B86" s="6" t="n">
        <v>46178</v>
      </c>
      <c r="C86" s="5">
        <f>WEEKDAY(B86,2)</f>
        <v/>
      </c>
      <c r="D86" s="7" t="n">
        <v>93.7636</v>
      </c>
      <c r="E86" s="8">
        <f>LN(D86)</f>
        <v/>
      </c>
      <c r="F86" s="8">
        <f>$M$6+$M$5*A86</f>
        <v/>
      </c>
      <c r="G86" s="8">
        <f>E86-F86</f>
        <v/>
      </c>
      <c r="H86" s="8">
        <f>INDEX($M$9:$M$15,C86)</f>
        <v/>
      </c>
      <c r="I86" s="8">
        <f>F86+H86</f>
        <v/>
      </c>
      <c r="J86" s="8">
        <f>E86-I86</f>
        <v/>
      </c>
    </row>
    <row r="87">
      <c r="A87" s="5" t="n">
        <v>83</v>
      </c>
      <c r="B87" s="6" t="n">
        <v>46179</v>
      </c>
      <c r="C87" s="5">
        <f>WEEKDAY(B87,2)</f>
        <v/>
      </c>
      <c r="D87" s="7" t="n">
        <v>72.27290000000001</v>
      </c>
      <c r="E87" s="8">
        <f>LN(D87)</f>
        <v/>
      </c>
      <c r="F87" s="8">
        <f>$M$6+$M$5*A87</f>
        <v/>
      </c>
      <c r="G87" s="8">
        <f>E87-F87</f>
        <v/>
      </c>
      <c r="H87" s="8">
        <f>INDEX($M$9:$M$15,C87)</f>
        <v/>
      </c>
      <c r="I87" s="8">
        <f>F87+H87</f>
        <v/>
      </c>
      <c r="J87" s="8">
        <f>E87-I87</f>
        <v/>
      </c>
    </row>
    <row r="88">
      <c r="A88" s="5" t="n">
        <v>84</v>
      </c>
      <c r="B88" s="6" t="n">
        <v>46180</v>
      </c>
      <c r="C88" s="5">
        <f>WEEKDAY(B88,2)</f>
        <v/>
      </c>
      <c r="D88" s="7" t="n">
        <v>83.8527</v>
      </c>
      <c r="E88" s="8">
        <f>LN(D88)</f>
        <v/>
      </c>
      <c r="F88" s="8">
        <f>$M$6+$M$5*A88</f>
        <v/>
      </c>
      <c r="G88" s="8">
        <f>E88-F88</f>
        <v/>
      </c>
      <c r="H88" s="8">
        <f>INDEX($M$9:$M$15,C88)</f>
        <v/>
      </c>
      <c r="I88" s="8">
        <f>F88+H88</f>
        <v/>
      </c>
      <c r="J88" s="8">
        <f>E88-I88</f>
        <v/>
      </c>
    </row>
    <row r="89">
      <c r="A89" s="5" t="n">
        <v>85</v>
      </c>
      <c r="B89" s="6" t="n">
        <v>46181</v>
      </c>
      <c r="C89" s="5">
        <f>WEEKDAY(B89,2)</f>
        <v/>
      </c>
      <c r="D89" s="7" t="n">
        <v>103.6178</v>
      </c>
      <c r="E89" s="8">
        <f>LN(D89)</f>
        <v/>
      </c>
      <c r="F89" s="8">
        <f>$M$6+$M$5*A89</f>
        <v/>
      </c>
      <c r="G89" s="8">
        <f>E89-F89</f>
        <v/>
      </c>
      <c r="H89" s="8">
        <f>INDEX($M$9:$M$15,C89)</f>
        <v/>
      </c>
      <c r="I89" s="8">
        <f>F89+H89</f>
        <v/>
      </c>
      <c r="J89" s="8">
        <f>E89-I89</f>
        <v/>
      </c>
    </row>
    <row r="90">
      <c r="A90" s="5" t="n">
        <v>86</v>
      </c>
      <c r="B90" s="6" t="n">
        <v>46182</v>
      </c>
      <c r="C90" s="5">
        <f>WEEKDAY(B90,2)</f>
        <v/>
      </c>
      <c r="D90" s="7" t="n">
        <v>93.8797</v>
      </c>
      <c r="E90" s="8">
        <f>LN(D90)</f>
        <v/>
      </c>
      <c r="F90" s="8">
        <f>$M$6+$M$5*A90</f>
        <v/>
      </c>
      <c r="G90" s="8">
        <f>E90-F90</f>
        <v/>
      </c>
      <c r="H90" s="8">
        <f>INDEX($M$9:$M$15,C90)</f>
        <v/>
      </c>
      <c r="I90" s="8">
        <f>F90+H90</f>
        <v/>
      </c>
      <c r="J90" s="8">
        <f>E90-I90</f>
        <v/>
      </c>
    </row>
    <row r="91">
      <c r="A91" s="5" t="n">
        <v>87</v>
      </c>
      <c r="B91" s="6" t="n">
        <v>46183</v>
      </c>
      <c r="C91" s="5">
        <f>WEEKDAY(B91,2)</f>
        <v/>
      </c>
      <c r="D91" s="7" t="n">
        <v>86.926</v>
      </c>
      <c r="E91" s="8">
        <f>LN(D91)</f>
        <v/>
      </c>
      <c r="F91" s="8">
        <f>$M$6+$M$5*A91</f>
        <v/>
      </c>
      <c r="G91" s="8">
        <f>E91-F91</f>
        <v/>
      </c>
      <c r="H91" s="8">
        <f>INDEX($M$9:$M$15,C91)</f>
        <v/>
      </c>
      <c r="I91" s="8">
        <f>F91+H91</f>
        <v/>
      </c>
      <c r="J91" s="8">
        <f>E91-I91</f>
        <v/>
      </c>
    </row>
    <row r="92">
      <c r="A92" s="5" t="n">
        <v>88</v>
      </c>
      <c r="B92" s="6" t="n">
        <v>46184</v>
      </c>
      <c r="C92" s="5">
        <f>WEEKDAY(B92,2)</f>
        <v/>
      </c>
      <c r="D92" s="7" t="n">
        <v>92.1468</v>
      </c>
      <c r="E92" s="8">
        <f>LN(D92)</f>
        <v/>
      </c>
      <c r="F92" s="8">
        <f>$M$6+$M$5*A92</f>
        <v/>
      </c>
      <c r="G92" s="8">
        <f>E92-F92</f>
        <v/>
      </c>
      <c r="H92" s="8">
        <f>INDEX($M$9:$M$15,C92)</f>
        <v/>
      </c>
      <c r="I92" s="8">
        <f>F92+H92</f>
        <v/>
      </c>
      <c r="J92" s="8">
        <f>E92-I92</f>
        <v/>
      </c>
    </row>
    <row r="93">
      <c r="A93" s="5" t="n">
        <v>89</v>
      </c>
      <c r="B93" s="6" t="n">
        <v>46185</v>
      </c>
      <c r="C93" s="5">
        <f>WEEKDAY(B93,2)</f>
        <v/>
      </c>
      <c r="D93" s="7" t="n">
        <v>79.461</v>
      </c>
      <c r="E93" s="8">
        <f>LN(D93)</f>
        <v/>
      </c>
      <c r="F93" s="8">
        <f>$M$6+$M$5*A93</f>
        <v/>
      </c>
      <c r="G93" s="8">
        <f>E93-F93</f>
        <v/>
      </c>
      <c r="H93" s="8">
        <f>INDEX($M$9:$M$15,C93)</f>
        <v/>
      </c>
      <c r="I93" s="8">
        <f>F93+H93</f>
        <v/>
      </c>
      <c r="J93" s="8">
        <f>E93-I93</f>
        <v/>
      </c>
    </row>
    <row r="94">
      <c r="A94" s="5" t="n">
        <v>90</v>
      </c>
      <c r="B94" s="6" t="n">
        <v>46186</v>
      </c>
      <c r="C94" s="5">
        <f>WEEKDAY(B94,2)</f>
        <v/>
      </c>
      <c r="D94" s="7" t="n">
        <v>68.9829</v>
      </c>
      <c r="E94" s="8">
        <f>LN(D94)</f>
        <v/>
      </c>
      <c r="F94" s="8">
        <f>$M$6+$M$5*A94</f>
        <v/>
      </c>
      <c r="G94" s="8">
        <f>E94-F94</f>
        <v/>
      </c>
      <c r="H94" s="8">
        <f>INDEX($M$9:$M$15,C94)</f>
        <v/>
      </c>
      <c r="I94" s="8">
        <f>F94+H94</f>
        <v/>
      </c>
      <c r="J94" s="8">
        <f>E94-I94</f>
        <v/>
      </c>
    </row>
    <row r="95">
      <c r="A95" s="5" t="n">
        <v>91</v>
      </c>
      <c r="B95" s="6" t="n">
        <v>46187</v>
      </c>
      <c r="C95" s="5">
        <f>WEEKDAY(B95,2)</f>
        <v/>
      </c>
      <c r="D95" s="7" t="n">
        <v>75.91</v>
      </c>
      <c r="E95" s="8">
        <f>LN(D95)</f>
        <v/>
      </c>
      <c r="F95" s="8">
        <f>$M$6+$M$5*A95</f>
        <v/>
      </c>
      <c r="G95" s="8">
        <f>E95-F95</f>
        <v/>
      </c>
      <c r="H95" s="8">
        <f>INDEX($M$9:$M$15,C95)</f>
        <v/>
      </c>
      <c r="I95" s="8">
        <f>F95+H95</f>
        <v/>
      </c>
      <c r="J95" s="8">
        <f>E95-I95</f>
        <v/>
      </c>
    </row>
    <row r="96">
      <c r="A96" s="5" t="n">
        <v>92</v>
      </c>
      <c r="B96" s="6" t="n">
        <v>46188</v>
      </c>
      <c r="C96" s="5">
        <f>WEEKDAY(B96,2)</f>
        <v/>
      </c>
      <c r="D96" s="7" t="n">
        <v>104.1356</v>
      </c>
      <c r="E96" s="8">
        <f>LN(D96)</f>
        <v/>
      </c>
      <c r="F96" s="8">
        <f>$M$6+$M$5*A96</f>
        <v/>
      </c>
      <c r="G96" s="8">
        <f>E96-F96</f>
        <v/>
      </c>
      <c r="H96" s="8">
        <f>INDEX($M$9:$M$15,C96)</f>
        <v/>
      </c>
      <c r="I96" s="8">
        <f>F96+H96</f>
        <v/>
      </c>
      <c r="J96" s="8">
        <f>E96-I96</f>
        <v/>
      </c>
    </row>
    <row r="97">
      <c r="A97" s="5" t="n">
        <v>93</v>
      </c>
      <c r="B97" s="6" t="n">
        <v>46189</v>
      </c>
      <c r="C97" s="5">
        <f>WEEKDAY(B97,2)</f>
        <v/>
      </c>
      <c r="D97" s="7" t="n">
        <v>110.5848</v>
      </c>
      <c r="E97" s="8">
        <f>LN(D97)</f>
        <v/>
      </c>
      <c r="F97" s="8">
        <f>$M$6+$M$5*A97</f>
        <v/>
      </c>
      <c r="G97" s="8">
        <f>E97-F97</f>
        <v/>
      </c>
      <c r="H97" s="8">
        <f>INDEX($M$9:$M$15,C97)</f>
        <v/>
      </c>
      <c r="I97" s="8">
        <f>F97+H97</f>
        <v/>
      </c>
      <c r="J97" s="8">
        <f>E97-I97</f>
        <v/>
      </c>
    </row>
    <row r="98">
      <c r="A98" s="5" t="n">
        <v>94</v>
      </c>
      <c r="B98" s="6" t="n">
        <v>46190</v>
      </c>
      <c r="C98" s="5">
        <f>WEEKDAY(B98,2)</f>
        <v/>
      </c>
      <c r="D98" s="7" t="n">
        <v>86.1516</v>
      </c>
      <c r="E98" s="8">
        <f>LN(D98)</f>
        <v/>
      </c>
      <c r="F98" s="8">
        <f>$M$6+$M$5*A98</f>
        <v/>
      </c>
      <c r="G98" s="8">
        <f>E98-F98</f>
        <v/>
      </c>
      <c r="H98" s="8">
        <f>INDEX($M$9:$M$15,C98)</f>
        <v/>
      </c>
      <c r="I98" s="8">
        <f>F98+H98</f>
        <v/>
      </c>
      <c r="J98" s="8">
        <f>E98-I98</f>
        <v/>
      </c>
    </row>
    <row r="99">
      <c r="A99" s="5" t="n">
        <v>95</v>
      </c>
      <c r="B99" s="6" t="n">
        <v>46191</v>
      </c>
      <c r="C99" s="5">
        <f>WEEKDAY(B99,2)</f>
        <v/>
      </c>
      <c r="D99" s="7" t="n">
        <v>80.58159999999999</v>
      </c>
      <c r="E99" s="8">
        <f>LN(D99)</f>
        <v/>
      </c>
      <c r="F99" s="8">
        <f>$M$6+$M$5*A99</f>
        <v/>
      </c>
      <c r="G99" s="8">
        <f>E99-F99</f>
        <v/>
      </c>
      <c r="H99" s="8">
        <f>INDEX($M$9:$M$15,C99)</f>
        <v/>
      </c>
      <c r="I99" s="8">
        <f>F99+H99</f>
        <v/>
      </c>
      <c r="J99" s="8">
        <f>E99-I99</f>
        <v/>
      </c>
    </row>
    <row r="100">
      <c r="A100" s="5" t="n">
        <v>96</v>
      </c>
      <c r="B100" s="6" t="n">
        <v>46192</v>
      </c>
      <c r="C100" s="5">
        <f>WEEKDAY(B100,2)</f>
        <v/>
      </c>
      <c r="D100" s="7" t="n">
        <v>85.7992</v>
      </c>
      <c r="E100" s="8">
        <f>LN(D100)</f>
        <v/>
      </c>
      <c r="F100" s="8">
        <f>$M$6+$M$5*A100</f>
        <v/>
      </c>
      <c r="G100" s="8">
        <f>E100-F100</f>
        <v/>
      </c>
      <c r="H100" s="8">
        <f>INDEX($M$9:$M$15,C100)</f>
        <v/>
      </c>
      <c r="I100" s="8">
        <f>F100+H100</f>
        <v/>
      </c>
      <c r="J100" s="8">
        <f>E100-I100</f>
        <v/>
      </c>
    </row>
    <row r="101">
      <c r="A101" s="5" t="n">
        <v>97</v>
      </c>
      <c r="B101" s="6" t="n">
        <v>46193</v>
      </c>
      <c r="C101" s="5">
        <f>WEEKDAY(B101,2)</f>
        <v/>
      </c>
      <c r="D101" s="7" t="n">
        <v>74.53749999999999</v>
      </c>
      <c r="E101" s="8">
        <f>LN(D101)</f>
        <v/>
      </c>
      <c r="F101" s="8">
        <f>$M$6+$M$5*A101</f>
        <v/>
      </c>
      <c r="G101" s="8">
        <f>E101-F101</f>
        <v/>
      </c>
      <c r="H101" s="8">
        <f>INDEX($M$9:$M$15,C101)</f>
        <v/>
      </c>
      <c r="I101" s="8">
        <f>F101+H101</f>
        <v/>
      </c>
      <c r="J101" s="8">
        <f>E101-I101</f>
        <v/>
      </c>
    </row>
    <row r="102">
      <c r="A102" s="5" t="n">
        <v>98</v>
      </c>
      <c r="B102" s="6" t="n">
        <v>46194</v>
      </c>
      <c r="C102" s="5">
        <f>WEEKDAY(B102,2)</f>
        <v/>
      </c>
      <c r="D102" s="7" t="n">
        <v>77.398</v>
      </c>
      <c r="E102" s="8">
        <f>LN(D102)</f>
        <v/>
      </c>
      <c r="F102" s="8">
        <f>$M$6+$M$5*A102</f>
        <v/>
      </c>
      <c r="G102" s="8">
        <f>E102-F102</f>
        <v/>
      </c>
      <c r="H102" s="8">
        <f>INDEX($M$9:$M$15,C102)</f>
        <v/>
      </c>
      <c r="I102" s="8">
        <f>F102+H102</f>
        <v/>
      </c>
      <c r="J102" s="8">
        <f>E102-I102</f>
        <v/>
      </c>
    </row>
    <row r="103">
      <c r="A103" s="5" t="n">
        <v>99</v>
      </c>
      <c r="B103" s="6" t="n">
        <v>46195</v>
      </c>
      <c r="C103" s="5">
        <f>WEEKDAY(B103,2)</f>
        <v/>
      </c>
      <c r="D103" s="7" t="n">
        <v>85.37649999999999</v>
      </c>
      <c r="E103" s="8">
        <f>LN(D103)</f>
        <v/>
      </c>
      <c r="F103" s="8">
        <f>$M$6+$M$5*A103</f>
        <v/>
      </c>
      <c r="G103" s="8">
        <f>E103-F103</f>
        <v/>
      </c>
      <c r="H103" s="8">
        <f>INDEX($M$9:$M$15,C103)</f>
        <v/>
      </c>
      <c r="I103" s="8">
        <f>F103+H103</f>
        <v/>
      </c>
      <c r="J103" s="8">
        <f>E103-I103</f>
        <v/>
      </c>
    </row>
    <row r="104">
      <c r="A104" s="5" t="n">
        <v>100</v>
      </c>
      <c r="B104" s="6" t="n">
        <v>46196</v>
      </c>
      <c r="C104" s="5">
        <f>WEEKDAY(B104,2)</f>
        <v/>
      </c>
      <c r="D104" s="7" t="n">
        <v>84.1174</v>
      </c>
      <c r="E104" s="8">
        <f>LN(D104)</f>
        <v/>
      </c>
      <c r="F104" s="8">
        <f>$M$6+$M$5*A104</f>
        <v/>
      </c>
      <c r="G104" s="8">
        <f>E104-F104</f>
        <v/>
      </c>
      <c r="H104" s="8">
        <f>INDEX($M$9:$M$15,C104)</f>
        <v/>
      </c>
      <c r="I104" s="8">
        <f>F104+H104</f>
        <v/>
      </c>
      <c r="J104" s="8">
        <f>E104-I104</f>
        <v/>
      </c>
    </row>
    <row r="105">
      <c r="A105" s="5" t="n">
        <v>101</v>
      </c>
      <c r="B105" s="6" t="n">
        <v>46197</v>
      </c>
      <c r="C105" s="5">
        <f>WEEKDAY(B105,2)</f>
        <v/>
      </c>
      <c r="D105" s="7" t="n">
        <v>83.3411</v>
      </c>
      <c r="E105" s="8">
        <f>LN(D105)</f>
        <v/>
      </c>
      <c r="F105" s="8">
        <f>$M$6+$M$5*A105</f>
        <v/>
      </c>
      <c r="G105" s="8">
        <f>E105-F105</f>
        <v/>
      </c>
      <c r="H105" s="8">
        <f>INDEX($M$9:$M$15,C105)</f>
        <v/>
      </c>
      <c r="I105" s="8">
        <f>F105+H105</f>
        <v/>
      </c>
      <c r="J105" s="8">
        <f>E105-I105</f>
        <v/>
      </c>
    </row>
    <row r="106">
      <c r="A106" s="5" t="n">
        <v>102</v>
      </c>
      <c r="B106" s="6" t="n">
        <v>46198</v>
      </c>
      <c r="C106" s="5">
        <f>WEEKDAY(B106,2)</f>
        <v/>
      </c>
      <c r="D106" s="7" t="n">
        <v>77.48399999999999</v>
      </c>
      <c r="E106" s="8">
        <f>LN(D106)</f>
        <v/>
      </c>
      <c r="F106" s="8">
        <f>$M$6+$M$5*A106</f>
        <v/>
      </c>
      <c r="G106" s="8">
        <f>E106-F106</f>
        <v/>
      </c>
      <c r="H106" s="8">
        <f>INDEX($M$9:$M$15,C106)</f>
        <v/>
      </c>
      <c r="I106" s="8">
        <f>F106+H106</f>
        <v/>
      </c>
      <c r="J106" s="8">
        <f>E106-I106</f>
        <v/>
      </c>
    </row>
    <row r="107">
      <c r="A107" s="5" t="n">
        <v>103</v>
      </c>
      <c r="B107" s="6" t="n">
        <v>46199</v>
      </c>
      <c r="C107" s="5">
        <f>WEEKDAY(B107,2)</f>
        <v/>
      </c>
      <c r="D107" s="7" t="n">
        <v>86.1833</v>
      </c>
      <c r="E107" s="8">
        <f>LN(D107)</f>
        <v/>
      </c>
      <c r="F107" s="8">
        <f>$M$6+$M$5*A107</f>
        <v/>
      </c>
      <c r="G107" s="8">
        <f>E107-F107</f>
        <v/>
      </c>
      <c r="H107" s="8">
        <f>INDEX($M$9:$M$15,C107)</f>
        <v/>
      </c>
      <c r="I107" s="8">
        <f>F107+H107</f>
        <v/>
      </c>
      <c r="J107" s="8">
        <f>E107-I107</f>
        <v/>
      </c>
    </row>
    <row r="108">
      <c r="A108" s="5" t="n">
        <v>104</v>
      </c>
      <c r="B108" s="6" t="n">
        <v>46200</v>
      </c>
      <c r="C108" s="5">
        <f>WEEKDAY(B108,2)</f>
        <v/>
      </c>
      <c r="D108" s="7" t="n">
        <v>66.2037</v>
      </c>
      <c r="E108" s="8">
        <f>LN(D108)</f>
        <v/>
      </c>
      <c r="F108" s="8">
        <f>$M$6+$M$5*A108</f>
        <v/>
      </c>
      <c r="G108" s="8">
        <f>E108-F108</f>
        <v/>
      </c>
      <c r="H108" s="8">
        <f>INDEX($M$9:$M$15,C108)</f>
        <v/>
      </c>
      <c r="I108" s="8">
        <f>F108+H108</f>
        <v/>
      </c>
      <c r="J108" s="8">
        <f>E108-I108</f>
        <v/>
      </c>
    </row>
    <row r="109">
      <c r="A109" s="5" t="n">
        <v>105</v>
      </c>
      <c r="B109" s="6" t="n">
        <v>46201</v>
      </c>
      <c r="C109" s="5">
        <f>WEEKDAY(B109,2)</f>
        <v/>
      </c>
      <c r="D109" s="7" t="n">
        <v>70.5376</v>
      </c>
      <c r="E109" s="8">
        <f>LN(D109)</f>
        <v/>
      </c>
      <c r="F109" s="8">
        <f>$M$6+$M$5*A109</f>
        <v/>
      </c>
      <c r="G109" s="8">
        <f>E109-F109</f>
        <v/>
      </c>
      <c r="H109" s="8">
        <f>INDEX($M$9:$M$15,C109)</f>
        <v/>
      </c>
      <c r="I109" s="8">
        <f>F109+H109</f>
        <v/>
      </c>
      <c r="J109" s="8">
        <f>E109-I109</f>
        <v/>
      </c>
    </row>
    <row r="110">
      <c r="A110" s="5" t="n">
        <v>106</v>
      </c>
      <c r="B110" s="6" t="n">
        <v>46202</v>
      </c>
      <c r="C110" s="5">
        <f>WEEKDAY(B110,2)</f>
        <v/>
      </c>
      <c r="D110" s="7" t="n">
        <v>99.0301</v>
      </c>
      <c r="E110" s="8">
        <f>LN(D110)</f>
        <v/>
      </c>
      <c r="F110" s="8">
        <f>$M$6+$M$5*A110</f>
        <v/>
      </c>
      <c r="G110" s="8">
        <f>E110-F110</f>
        <v/>
      </c>
      <c r="H110" s="8">
        <f>INDEX($M$9:$M$15,C110)</f>
        <v/>
      </c>
      <c r="I110" s="8">
        <f>F110+H110</f>
        <v/>
      </c>
      <c r="J110" s="8">
        <f>E110-I110</f>
        <v/>
      </c>
    </row>
    <row r="111">
      <c r="A111" s="5" t="n">
        <v>107</v>
      </c>
      <c r="B111" s="6" t="n">
        <v>46203</v>
      </c>
      <c r="C111" s="5">
        <f>WEEKDAY(B111,2)</f>
        <v/>
      </c>
      <c r="D111" s="7" t="n">
        <v>96.94240000000001</v>
      </c>
      <c r="E111" s="8">
        <f>LN(D111)</f>
        <v/>
      </c>
      <c r="F111" s="8">
        <f>$M$6+$M$5*A111</f>
        <v/>
      </c>
      <c r="G111" s="8">
        <f>E111-F111</f>
        <v/>
      </c>
      <c r="H111" s="8">
        <f>INDEX($M$9:$M$15,C111)</f>
        <v/>
      </c>
      <c r="I111" s="8">
        <f>F111+H111</f>
        <v/>
      </c>
      <c r="J111" s="8">
        <f>E111-I111</f>
        <v/>
      </c>
    </row>
    <row r="112">
      <c r="A112" s="5" t="n">
        <v>108</v>
      </c>
      <c r="B112" s="6" t="n">
        <v>46204</v>
      </c>
      <c r="C112" s="5">
        <f>WEEKDAY(B112,2)</f>
        <v/>
      </c>
      <c r="D112" s="7" t="n">
        <v>104.8401</v>
      </c>
      <c r="E112" s="8">
        <f>LN(D112)</f>
        <v/>
      </c>
      <c r="F112" s="8">
        <f>$M$6+$M$5*A112</f>
        <v/>
      </c>
      <c r="G112" s="8">
        <f>E112-F112</f>
        <v/>
      </c>
      <c r="H112" s="8">
        <f>INDEX($M$9:$M$15,C112)</f>
        <v/>
      </c>
      <c r="I112" s="8">
        <f>F112+H112</f>
        <v/>
      </c>
      <c r="J112" s="8">
        <f>E112-I112</f>
        <v/>
      </c>
    </row>
    <row r="113">
      <c r="A113" s="5" t="n">
        <v>109</v>
      </c>
      <c r="B113" s="6" t="n">
        <v>46205</v>
      </c>
      <c r="C113" s="5">
        <f>WEEKDAY(B113,2)</f>
        <v/>
      </c>
      <c r="D113" s="7" t="n">
        <v>78.3274</v>
      </c>
      <c r="E113" s="8">
        <f>LN(D113)</f>
        <v/>
      </c>
      <c r="F113" s="8">
        <f>$M$6+$M$5*A113</f>
        <v/>
      </c>
      <c r="G113" s="8">
        <f>E113-F113</f>
        <v/>
      </c>
      <c r="H113" s="8">
        <f>INDEX($M$9:$M$15,C113)</f>
        <v/>
      </c>
      <c r="I113" s="8">
        <f>F113+H113</f>
        <v/>
      </c>
      <c r="J113" s="8">
        <f>E113-I113</f>
        <v/>
      </c>
    </row>
    <row r="114">
      <c r="A114" s="5" t="n">
        <v>110</v>
      </c>
      <c r="B114" s="6" t="n">
        <v>46206</v>
      </c>
      <c r="C114" s="5">
        <f>WEEKDAY(B114,2)</f>
        <v/>
      </c>
      <c r="D114" s="7" t="n">
        <v>79.7752</v>
      </c>
      <c r="E114" s="8">
        <f>LN(D114)</f>
        <v/>
      </c>
      <c r="F114" s="8">
        <f>$M$6+$M$5*A114</f>
        <v/>
      </c>
      <c r="G114" s="8">
        <f>E114-F114</f>
        <v/>
      </c>
      <c r="H114" s="8">
        <f>INDEX($M$9:$M$15,C114)</f>
        <v/>
      </c>
      <c r="I114" s="8">
        <f>F114+H114</f>
        <v/>
      </c>
      <c r="J114" s="8">
        <f>E114-I114</f>
        <v/>
      </c>
    </row>
    <row r="115">
      <c r="A115" s="5" t="n">
        <v>111</v>
      </c>
      <c r="B115" s="6" t="n">
        <v>46207</v>
      </c>
      <c r="C115" s="5">
        <f>WEEKDAY(B115,2)</f>
        <v/>
      </c>
      <c r="D115" s="7" t="n">
        <v>66.8967</v>
      </c>
      <c r="E115" s="8">
        <f>LN(D115)</f>
        <v/>
      </c>
      <c r="F115" s="8">
        <f>$M$6+$M$5*A115</f>
        <v/>
      </c>
      <c r="G115" s="8">
        <f>E115-F115</f>
        <v/>
      </c>
      <c r="H115" s="8">
        <f>INDEX($M$9:$M$15,C115)</f>
        <v/>
      </c>
      <c r="I115" s="8">
        <f>F115+H115</f>
        <v/>
      </c>
      <c r="J115" s="8">
        <f>E115-I115</f>
        <v/>
      </c>
    </row>
    <row r="116">
      <c r="A116" s="5" t="n">
        <v>112</v>
      </c>
      <c r="B116" s="6" t="n">
        <v>46208</v>
      </c>
      <c r="C116" s="5">
        <f>WEEKDAY(B116,2)</f>
        <v/>
      </c>
      <c r="D116" s="7" t="n">
        <v>71.5654</v>
      </c>
      <c r="E116" s="8">
        <f>LN(D116)</f>
        <v/>
      </c>
      <c r="F116" s="8">
        <f>$M$6+$M$5*A116</f>
        <v/>
      </c>
      <c r="G116" s="8">
        <f>E116-F116</f>
        <v/>
      </c>
      <c r="H116" s="8">
        <f>INDEX($M$9:$M$15,C116)</f>
        <v/>
      </c>
      <c r="I116" s="8">
        <f>F116+H116</f>
        <v/>
      </c>
      <c r="J116" s="8">
        <f>E116-I116</f>
        <v/>
      </c>
    </row>
    <row r="117">
      <c r="A117" s="5" t="n">
        <v>113</v>
      </c>
      <c r="B117" s="6" t="n">
        <v>46209</v>
      </c>
      <c r="C117" s="5">
        <f>WEEKDAY(B117,2)</f>
        <v/>
      </c>
      <c r="D117" s="7" t="n">
        <v>81.9004</v>
      </c>
      <c r="E117" s="8">
        <f>LN(D117)</f>
        <v/>
      </c>
      <c r="F117" s="8">
        <f>$M$6+$M$5*A117</f>
        <v/>
      </c>
      <c r="G117" s="8">
        <f>E117-F117</f>
        <v/>
      </c>
      <c r="H117" s="8">
        <f>INDEX($M$9:$M$15,C117)</f>
        <v/>
      </c>
      <c r="I117" s="8">
        <f>F117+H117</f>
        <v/>
      </c>
      <c r="J117" s="8">
        <f>E117-I117</f>
        <v/>
      </c>
    </row>
    <row r="118">
      <c r="A118" s="5" t="n">
        <v>114</v>
      </c>
      <c r="B118" s="6" t="n">
        <v>46210</v>
      </c>
      <c r="C118" s="5">
        <f>WEEKDAY(B118,2)</f>
        <v/>
      </c>
      <c r="D118" s="7" t="n">
        <v>86.9842</v>
      </c>
      <c r="E118" s="8">
        <f>LN(D118)</f>
        <v/>
      </c>
      <c r="F118" s="8">
        <f>$M$6+$M$5*A118</f>
        <v/>
      </c>
      <c r="G118" s="8">
        <f>E118-F118</f>
        <v/>
      </c>
      <c r="H118" s="8">
        <f>INDEX($M$9:$M$15,C118)</f>
        <v/>
      </c>
      <c r="I118" s="8">
        <f>F118+H118</f>
        <v/>
      </c>
      <c r="J118" s="8">
        <f>E118-I118</f>
        <v/>
      </c>
    </row>
    <row r="119">
      <c r="A119" s="5" t="n">
        <v>115</v>
      </c>
      <c r="B119" s="6" t="n">
        <v>46211</v>
      </c>
      <c r="C119" s="5">
        <f>WEEKDAY(B119,2)</f>
        <v/>
      </c>
      <c r="D119" s="7" t="n">
        <v>90.6585</v>
      </c>
      <c r="E119" s="8">
        <f>LN(D119)</f>
        <v/>
      </c>
      <c r="F119" s="8">
        <f>$M$6+$M$5*A119</f>
        <v/>
      </c>
      <c r="G119" s="8">
        <f>E119-F119</f>
        <v/>
      </c>
      <c r="H119" s="8">
        <f>INDEX($M$9:$M$15,C119)</f>
        <v/>
      </c>
      <c r="I119" s="8">
        <f>F119+H119</f>
        <v/>
      </c>
      <c r="J119" s="8">
        <f>E119-I119</f>
        <v/>
      </c>
    </row>
    <row r="120">
      <c r="A120" s="5" t="n">
        <v>116</v>
      </c>
      <c r="B120" s="6" t="n">
        <v>46212</v>
      </c>
      <c r="C120" s="5">
        <f>WEEKDAY(B120,2)</f>
        <v/>
      </c>
      <c r="D120" s="7" t="n">
        <v>100.685</v>
      </c>
      <c r="E120" s="8">
        <f>LN(D120)</f>
        <v/>
      </c>
      <c r="F120" s="8">
        <f>$M$6+$M$5*A120</f>
        <v/>
      </c>
      <c r="G120" s="8">
        <f>E120-F120</f>
        <v/>
      </c>
      <c r="H120" s="8">
        <f>INDEX($M$9:$M$15,C120)</f>
        <v/>
      </c>
      <c r="I120" s="8">
        <f>F120+H120</f>
        <v/>
      </c>
      <c r="J120" s="8">
        <f>E120-I120</f>
        <v/>
      </c>
    </row>
    <row r="121">
      <c r="A121" s="5" t="n">
        <v>117</v>
      </c>
      <c r="B121" s="6" t="n">
        <v>46213</v>
      </c>
      <c r="C121" s="5">
        <f>WEEKDAY(B121,2)</f>
        <v/>
      </c>
      <c r="D121" s="7" t="n">
        <v>87.8809</v>
      </c>
      <c r="E121" s="8">
        <f>LN(D121)</f>
        <v/>
      </c>
      <c r="F121" s="8">
        <f>$M$6+$M$5*A121</f>
        <v/>
      </c>
      <c r="G121" s="8">
        <f>E121-F121</f>
        <v/>
      </c>
      <c r="H121" s="8">
        <f>INDEX($M$9:$M$15,C121)</f>
        <v/>
      </c>
      <c r="I121" s="8">
        <f>F121+H121</f>
        <v/>
      </c>
      <c r="J121" s="8">
        <f>E121-I121</f>
        <v/>
      </c>
    </row>
    <row r="122">
      <c r="A122" s="5" t="n">
        <v>118</v>
      </c>
      <c r="B122" s="6" t="n">
        <v>46214</v>
      </c>
      <c r="C122" s="5">
        <f>WEEKDAY(B122,2)</f>
        <v/>
      </c>
      <c r="D122" s="7" t="n">
        <v>71.0421</v>
      </c>
      <c r="E122" s="8">
        <f>LN(D122)</f>
        <v/>
      </c>
      <c r="F122" s="8">
        <f>$M$6+$M$5*A122</f>
        <v/>
      </c>
      <c r="G122" s="8">
        <f>E122-F122</f>
        <v/>
      </c>
      <c r="H122" s="8">
        <f>INDEX($M$9:$M$15,C122)</f>
        <v/>
      </c>
      <c r="I122" s="8">
        <f>F122+H122</f>
        <v/>
      </c>
      <c r="J122" s="8">
        <f>E122-I122</f>
        <v/>
      </c>
    </row>
    <row r="123">
      <c r="A123" s="5" t="n">
        <v>119</v>
      </c>
      <c r="B123" s="6" t="n">
        <v>46215</v>
      </c>
      <c r="C123" s="5">
        <f>WEEKDAY(B123,2)</f>
        <v/>
      </c>
      <c r="D123" s="7" t="n">
        <v>78.36499999999999</v>
      </c>
      <c r="E123" s="8">
        <f>LN(D123)</f>
        <v/>
      </c>
      <c r="F123" s="8">
        <f>$M$6+$M$5*A123</f>
        <v/>
      </c>
      <c r="G123" s="8">
        <f>E123-F123</f>
        <v/>
      </c>
      <c r="H123" s="8">
        <f>INDEX($M$9:$M$15,C123)</f>
        <v/>
      </c>
      <c r="I123" s="8">
        <f>F123+H123</f>
        <v/>
      </c>
      <c r="J123" s="8">
        <f>E123-I123</f>
        <v/>
      </c>
    </row>
    <row r="124">
      <c r="A124" s="5" t="n">
        <v>120</v>
      </c>
      <c r="B124" s="6" t="n">
        <v>46216</v>
      </c>
      <c r="C124" s="5">
        <f>WEEKDAY(B124,2)</f>
        <v/>
      </c>
      <c r="D124" s="7" t="n">
        <v>99.02070000000001</v>
      </c>
      <c r="E124" s="8">
        <f>LN(D124)</f>
        <v/>
      </c>
      <c r="F124" s="8">
        <f>$M$6+$M$5*A124</f>
        <v/>
      </c>
      <c r="G124" s="8">
        <f>E124-F124</f>
        <v/>
      </c>
      <c r="H124" s="8">
        <f>INDEX($M$9:$M$15,C124)</f>
        <v/>
      </c>
      <c r="I124" s="8">
        <f>F124+H124</f>
        <v/>
      </c>
      <c r="J124" s="8">
        <f>E124-I124</f>
        <v/>
      </c>
    </row>
    <row r="125">
      <c r="A125" s="5" t="n">
        <v>121</v>
      </c>
      <c r="B125" s="6" t="n">
        <v>46217</v>
      </c>
      <c r="C125" s="5">
        <f>WEEKDAY(B125,2)</f>
        <v/>
      </c>
      <c r="D125" s="7" t="n">
        <v>95.77500000000001</v>
      </c>
      <c r="E125" s="8">
        <f>LN(D125)</f>
        <v/>
      </c>
      <c r="F125" s="8">
        <f>$M$6+$M$5*A125</f>
        <v/>
      </c>
      <c r="G125" s="8">
        <f>E125-F125</f>
        <v/>
      </c>
      <c r="H125" s="8">
        <f>INDEX($M$9:$M$15,C125)</f>
        <v/>
      </c>
      <c r="I125" s="8">
        <f>F125+H125</f>
        <v/>
      </c>
      <c r="J125" s="8">
        <f>E125-I125</f>
        <v/>
      </c>
    </row>
    <row r="126">
      <c r="A126" s="5" t="n">
        <v>122</v>
      </c>
      <c r="B126" s="6" t="n">
        <v>46218</v>
      </c>
      <c r="C126" s="5">
        <f>WEEKDAY(B126,2)</f>
        <v/>
      </c>
      <c r="D126" s="7" t="n">
        <v>94.3753</v>
      </c>
      <c r="E126" s="8">
        <f>LN(D126)</f>
        <v/>
      </c>
      <c r="F126" s="8">
        <f>$M$6+$M$5*A126</f>
        <v/>
      </c>
      <c r="G126" s="8">
        <f>E126-F126</f>
        <v/>
      </c>
      <c r="H126" s="8">
        <f>INDEX($M$9:$M$15,C126)</f>
        <v/>
      </c>
      <c r="I126" s="8">
        <f>F126+H126</f>
        <v/>
      </c>
      <c r="J126" s="8">
        <f>E126-I126</f>
        <v/>
      </c>
    </row>
    <row r="127">
      <c r="A127" s="5" t="n">
        <v>123</v>
      </c>
      <c r="B127" s="6" t="n">
        <v>46219</v>
      </c>
      <c r="C127" s="5">
        <f>WEEKDAY(B127,2)</f>
        <v/>
      </c>
      <c r="D127" s="7" t="n">
        <v>106.8882</v>
      </c>
      <c r="E127" s="8">
        <f>LN(D127)</f>
        <v/>
      </c>
      <c r="F127" s="8">
        <f>$M$6+$M$5*A127</f>
        <v/>
      </c>
      <c r="G127" s="8">
        <f>E127-F127</f>
        <v/>
      </c>
      <c r="H127" s="8">
        <f>INDEX($M$9:$M$15,C127)</f>
        <v/>
      </c>
      <c r="I127" s="8">
        <f>F127+H127</f>
        <v/>
      </c>
      <c r="J127" s="8">
        <f>E127-I127</f>
        <v/>
      </c>
    </row>
    <row r="128">
      <c r="A128" s="5" t="n">
        <v>124</v>
      </c>
      <c r="B128" s="6" t="n">
        <v>46220</v>
      </c>
      <c r="C128" s="5">
        <f>WEEKDAY(B128,2)</f>
        <v/>
      </c>
      <c r="D128" s="7" t="n">
        <v>89.40689999999999</v>
      </c>
      <c r="E128" s="8">
        <f>LN(D128)</f>
        <v/>
      </c>
      <c r="F128" s="8">
        <f>$M$6+$M$5*A128</f>
        <v/>
      </c>
      <c r="G128" s="8">
        <f>E128-F128</f>
        <v/>
      </c>
      <c r="H128" s="8">
        <f>INDEX($M$9:$M$15,C128)</f>
        <v/>
      </c>
      <c r="I128" s="8">
        <f>F128+H128</f>
        <v/>
      </c>
      <c r="J128" s="8">
        <f>E128-I128</f>
        <v/>
      </c>
    </row>
    <row r="129">
      <c r="A129" s="5" t="n">
        <v>125</v>
      </c>
      <c r="B129" s="6" t="n">
        <v>46221</v>
      </c>
      <c r="C129" s="5">
        <f>WEEKDAY(B129,2)</f>
        <v/>
      </c>
      <c r="D129" s="7" t="n">
        <v>86.4444</v>
      </c>
      <c r="E129" s="8">
        <f>LN(D129)</f>
        <v/>
      </c>
      <c r="F129" s="8">
        <f>$M$6+$M$5*A129</f>
        <v/>
      </c>
      <c r="G129" s="8">
        <f>E129-F129</f>
        <v/>
      </c>
      <c r="H129" s="8">
        <f>INDEX($M$9:$M$15,C129)</f>
        <v/>
      </c>
      <c r="I129" s="8">
        <f>F129+H129</f>
        <v/>
      </c>
      <c r="J129" s="8">
        <f>E129-I129</f>
        <v/>
      </c>
    </row>
    <row r="130">
      <c r="A130" s="5" t="n">
        <v>126</v>
      </c>
      <c r="B130" s="6" t="n">
        <v>46222</v>
      </c>
      <c r="C130" s="5">
        <f>WEEKDAY(B130,2)</f>
        <v/>
      </c>
      <c r="D130" s="7" t="n">
        <v>85.76519999999999</v>
      </c>
      <c r="E130" s="8">
        <f>LN(D130)</f>
        <v/>
      </c>
      <c r="F130" s="8">
        <f>$M$6+$M$5*A130</f>
        <v/>
      </c>
      <c r="G130" s="8">
        <f>E130-F130</f>
        <v/>
      </c>
      <c r="H130" s="8">
        <f>INDEX($M$9:$M$15,C130)</f>
        <v/>
      </c>
      <c r="I130" s="8">
        <f>F130+H130</f>
        <v/>
      </c>
      <c r="J130" s="8">
        <f>E130-I130</f>
        <v/>
      </c>
    </row>
    <row r="131">
      <c r="A131" s="5" t="n">
        <v>127</v>
      </c>
      <c r="B131" s="6" t="n">
        <v>46223</v>
      </c>
      <c r="C131" s="5">
        <f>WEEKDAY(B131,2)</f>
        <v/>
      </c>
      <c r="D131" s="7" t="n">
        <v>109.197</v>
      </c>
      <c r="E131" s="8">
        <f>LN(D131)</f>
        <v/>
      </c>
      <c r="F131" s="8">
        <f>$M$6+$M$5*A131</f>
        <v/>
      </c>
      <c r="G131" s="8">
        <f>E131-F131</f>
        <v/>
      </c>
      <c r="H131" s="8">
        <f>INDEX($M$9:$M$15,C131)</f>
        <v/>
      </c>
      <c r="I131" s="8">
        <f>F131+H131</f>
        <v/>
      </c>
      <c r="J131" s="8">
        <f>E131-I131</f>
        <v/>
      </c>
    </row>
    <row r="132">
      <c r="A132" s="5" t="n">
        <v>128</v>
      </c>
      <c r="B132" s="6" t="n">
        <v>46224</v>
      </c>
      <c r="C132" s="5">
        <f>WEEKDAY(B132,2)</f>
        <v/>
      </c>
      <c r="D132" s="7" t="n">
        <v>105.7939</v>
      </c>
      <c r="E132" s="8">
        <f>LN(D132)</f>
        <v/>
      </c>
      <c r="F132" s="8">
        <f>$M$6+$M$5*A132</f>
        <v/>
      </c>
      <c r="G132" s="8">
        <f>E132-F132</f>
        <v/>
      </c>
      <c r="H132" s="8">
        <f>INDEX($M$9:$M$15,C132)</f>
        <v/>
      </c>
      <c r="I132" s="8">
        <f>F132+H132</f>
        <v/>
      </c>
      <c r="J132" s="8">
        <f>E132-I132</f>
        <v/>
      </c>
    </row>
    <row r="133">
      <c r="A133" s="5" t="n">
        <v>129</v>
      </c>
      <c r="B133" s="6" t="n">
        <v>46225</v>
      </c>
      <c r="C133" s="5">
        <f>WEEKDAY(B133,2)</f>
        <v/>
      </c>
      <c r="D133" s="7" t="n">
        <v>91.24250000000001</v>
      </c>
      <c r="E133" s="8">
        <f>LN(D133)</f>
        <v/>
      </c>
      <c r="F133" s="8">
        <f>$M$6+$M$5*A133</f>
        <v/>
      </c>
      <c r="G133" s="8">
        <f>E133-F133</f>
        <v/>
      </c>
      <c r="H133" s="8">
        <f>INDEX($M$9:$M$15,C133)</f>
        <v/>
      </c>
      <c r="I133" s="8">
        <f>F133+H133</f>
        <v/>
      </c>
      <c r="J133" s="8">
        <f>E133-I133</f>
        <v/>
      </c>
    </row>
    <row r="134">
      <c r="A134" s="5" t="n">
        <v>130</v>
      </c>
      <c r="B134" s="6" t="n">
        <v>46226</v>
      </c>
      <c r="C134" s="5">
        <f>WEEKDAY(B134,2)</f>
        <v/>
      </c>
      <c r="D134" s="7" t="n">
        <v>83.6264</v>
      </c>
      <c r="E134" s="8">
        <f>LN(D134)</f>
        <v/>
      </c>
      <c r="F134" s="8">
        <f>$M$6+$M$5*A134</f>
        <v/>
      </c>
      <c r="G134" s="8">
        <f>E134-F134</f>
        <v/>
      </c>
      <c r="H134" s="8">
        <f>INDEX($M$9:$M$15,C134)</f>
        <v/>
      </c>
      <c r="I134" s="8">
        <f>F134+H134</f>
        <v/>
      </c>
      <c r="J134" s="8">
        <f>E134-I134</f>
        <v/>
      </c>
    </row>
    <row r="135">
      <c r="A135" s="5" t="n">
        <v>131</v>
      </c>
      <c r="B135" s="6" t="n">
        <v>46227</v>
      </c>
      <c r="C135" s="5">
        <f>WEEKDAY(B135,2)</f>
        <v/>
      </c>
      <c r="D135" s="7" t="n">
        <v>84.7214</v>
      </c>
      <c r="E135" s="8">
        <f>LN(D135)</f>
        <v/>
      </c>
      <c r="F135" s="8">
        <f>$M$6+$M$5*A135</f>
        <v/>
      </c>
      <c r="G135" s="8">
        <f>E135-F135</f>
        <v/>
      </c>
      <c r="H135" s="8">
        <f>INDEX($M$9:$M$15,C135)</f>
        <v/>
      </c>
      <c r="I135" s="8">
        <f>F135+H135</f>
        <v/>
      </c>
      <c r="J135" s="8">
        <f>E135-I135</f>
        <v/>
      </c>
    </row>
    <row r="136">
      <c r="A136" s="5" t="n">
        <v>132</v>
      </c>
      <c r="B136" s="6" t="n">
        <v>46228</v>
      </c>
      <c r="C136" s="5">
        <f>WEEKDAY(B136,2)</f>
        <v/>
      </c>
      <c r="D136" s="7" t="n">
        <v>76.34829999999999</v>
      </c>
      <c r="E136" s="8">
        <f>LN(D136)</f>
        <v/>
      </c>
      <c r="F136" s="8">
        <f>$M$6+$M$5*A136</f>
        <v/>
      </c>
      <c r="G136" s="8">
        <f>E136-F136</f>
        <v/>
      </c>
      <c r="H136" s="8">
        <f>INDEX($M$9:$M$15,C136)</f>
        <v/>
      </c>
      <c r="I136" s="8">
        <f>F136+H136</f>
        <v/>
      </c>
      <c r="J136" s="8">
        <f>E136-I136</f>
        <v/>
      </c>
    </row>
    <row r="137">
      <c r="A137" s="5" t="n">
        <v>133</v>
      </c>
      <c r="B137" s="6" t="n">
        <v>46229</v>
      </c>
      <c r="C137" s="5">
        <f>WEEKDAY(B137,2)</f>
        <v/>
      </c>
      <c r="D137" s="7" t="n">
        <v>93.3561</v>
      </c>
      <c r="E137" s="8">
        <f>LN(D137)</f>
        <v/>
      </c>
      <c r="F137" s="8">
        <f>$M$6+$M$5*A137</f>
        <v/>
      </c>
      <c r="G137" s="8">
        <f>E137-F137</f>
        <v/>
      </c>
      <c r="H137" s="8">
        <f>INDEX($M$9:$M$15,C137)</f>
        <v/>
      </c>
      <c r="I137" s="8">
        <f>F137+H137</f>
        <v/>
      </c>
      <c r="J137" s="8">
        <f>E137-I137</f>
        <v/>
      </c>
    </row>
    <row r="138">
      <c r="A138" s="5" t="n">
        <v>134</v>
      </c>
      <c r="B138" s="6" t="n">
        <v>46230</v>
      </c>
      <c r="C138" s="5">
        <f>WEEKDAY(B138,2)</f>
        <v/>
      </c>
      <c r="D138" s="7" t="n">
        <v>99.5539</v>
      </c>
      <c r="E138" s="8">
        <f>LN(D138)</f>
        <v/>
      </c>
      <c r="F138" s="8">
        <f>$M$6+$M$5*A138</f>
        <v/>
      </c>
      <c r="G138" s="8">
        <f>E138-F138</f>
        <v/>
      </c>
      <c r="H138" s="8">
        <f>INDEX($M$9:$M$15,C138)</f>
        <v/>
      </c>
      <c r="I138" s="8">
        <f>F138+H138</f>
        <v/>
      </c>
      <c r="J138" s="8">
        <f>E138-I138</f>
        <v/>
      </c>
    </row>
    <row r="139">
      <c r="A139" s="5" t="n">
        <v>135</v>
      </c>
      <c r="B139" s="6" t="n">
        <v>46231</v>
      </c>
      <c r="C139" s="5">
        <f>WEEKDAY(B139,2)</f>
        <v/>
      </c>
      <c r="D139" s="7" t="n">
        <v>99.2925</v>
      </c>
      <c r="E139" s="8">
        <f>LN(D139)</f>
        <v/>
      </c>
      <c r="F139" s="8">
        <f>$M$6+$M$5*A139</f>
        <v/>
      </c>
      <c r="G139" s="8">
        <f>E139-F139</f>
        <v/>
      </c>
      <c r="H139" s="8">
        <f>INDEX($M$9:$M$15,C139)</f>
        <v/>
      </c>
      <c r="I139" s="8">
        <f>F139+H139</f>
        <v/>
      </c>
      <c r="J139" s="8">
        <f>E139-I139</f>
        <v/>
      </c>
    </row>
    <row r="140">
      <c r="A140" s="5" t="n">
        <v>136</v>
      </c>
      <c r="B140" s="6" t="n">
        <v>46232</v>
      </c>
      <c r="C140" s="5">
        <f>WEEKDAY(B140,2)</f>
        <v/>
      </c>
      <c r="D140" s="7" t="n">
        <v>107.4131</v>
      </c>
      <c r="E140" s="8">
        <f>LN(D140)</f>
        <v/>
      </c>
      <c r="F140" s="8">
        <f>$M$6+$M$5*A140</f>
        <v/>
      </c>
      <c r="G140" s="8">
        <f>E140-F140</f>
        <v/>
      </c>
      <c r="H140" s="8">
        <f>INDEX($M$9:$M$15,C140)</f>
        <v/>
      </c>
      <c r="I140" s="8">
        <f>F140+H140</f>
        <v/>
      </c>
      <c r="J140" s="8">
        <f>E140-I140</f>
        <v/>
      </c>
    </row>
    <row r="141">
      <c r="A141" s="5" t="n">
        <v>137</v>
      </c>
      <c r="B141" s="6" t="n">
        <v>46233</v>
      </c>
      <c r="C141" s="5">
        <f>WEEKDAY(B141,2)</f>
        <v/>
      </c>
      <c r="D141" s="7" t="n">
        <v>112.9991</v>
      </c>
      <c r="E141" s="8">
        <f>LN(D141)</f>
        <v/>
      </c>
      <c r="F141" s="8">
        <f>$M$6+$M$5*A141</f>
        <v/>
      </c>
      <c r="G141" s="8">
        <f>E141-F141</f>
        <v/>
      </c>
      <c r="H141" s="8">
        <f>INDEX($M$9:$M$15,C141)</f>
        <v/>
      </c>
      <c r="I141" s="8">
        <f>F141+H141</f>
        <v/>
      </c>
      <c r="J141" s="8">
        <f>E141-I141</f>
        <v/>
      </c>
    </row>
    <row r="142">
      <c r="A142" s="5" t="n">
        <v>138</v>
      </c>
      <c r="B142" s="6" t="n">
        <v>46234</v>
      </c>
      <c r="C142" s="5">
        <f>WEEKDAY(B142,2)</f>
        <v/>
      </c>
      <c r="D142" s="7" t="n">
        <v>98.0994</v>
      </c>
      <c r="E142" s="8">
        <f>LN(D142)</f>
        <v/>
      </c>
      <c r="F142" s="8">
        <f>$M$6+$M$5*A142</f>
        <v/>
      </c>
      <c r="G142" s="8">
        <f>E142-F142</f>
        <v/>
      </c>
      <c r="H142" s="8">
        <f>INDEX($M$9:$M$15,C142)</f>
        <v/>
      </c>
      <c r="I142" s="8">
        <f>F142+H142</f>
        <v/>
      </c>
      <c r="J142" s="8">
        <f>E142-I142</f>
        <v/>
      </c>
    </row>
    <row r="143">
      <c r="A143" s="5" t="n">
        <v>139</v>
      </c>
      <c r="B143" s="6" t="n">
        <v>46235</v>
      </c>
      <c r="C143" s="5">
        <f>WEEKDAY(B143,2)</f>
        <v/>
      </c>
      <c r="D143" s="7" t="n">
        <v>73.13160000000001</v>
      </c>
      <c r="E143" s="8">
        <f>LN(D143)</f>
        <v/>
      </c>
      <c r="F143" s="8">
        <f>$M$6+$M$5*A143</f>
        <v/>
      </c>
      <c r="G143" s="8">
        <f>E143-F143</f>
        <v/>
      </c>
      <c r="H143" s="8">
        <f>INDEX($M$9:$M$15,C143)</f>
        <v/>
      </c>
      <c r="I143" s="8">
        <f>F143+H143</f>
        <v/>
      </c>
      <c r="J143" s="8">
        <f>E143-I143</f>
        <v/>
      </c>
    </row>
    <row r="144">
      <c r="A144" s="5" t="n">
        <v>140</v>
      </c>
      <c r="B144" s="6" t="n">
        <v>46236</v>
      </c>
      <c r="C144" s="5">
        <f>WEEKDAY(B144,2)</f>
        <v/>
      </c>
      <c r="D144" s="7" t="n">
        <v>78.367</v>
      </c>
      <c r="E144" s="8">
        <f>LN(D144)</f>
        <v/>
      </c>
      <c r="F144" s="8">
        <f>$M$6+$M$5*A144</f>
        <v/>
      </c>
      <c r="G144" s="8">
        <f>E144-F144</f>
        <v/>
      </c>
      <c r="H144" s="8">
        <f>INDEX($M$9:$M$15,C144)</f>
        <v/>
      </c>
      <c r="I144" s="8">
        <f>F144+H144</f>
        <v/>
      </c>
      <c r="J144" s="8">
        <f>E144-I144</f>
        <v/>
      </c>
    </row>
    <row r="145">
      <c r="A145" s="5" t="n">
        <v>141</v>
      </c>
      <c r="B145" s="6" t="n">
        <v>46237</v>
      </c>
      <c r="C145" s="5">
        <f>WEEKDAY(B145,2)</f>
        <v/>
      </c>
      <c r="D145" s="7" t="n">
        <v>92.16849999999999</v>
      </c>
      <c r="E145" s="8">
        <f>LN(D145)</f>
        <v/>
      </c>
      <c r="F145" s="8">
        <f>$M$6+$M$5*A145</f>
        <v/>
      </c>
      <c r="G145" s="8">
        <f>E145-F145</f>
        <v/>
      </c>
      <c r="H145" s="8">
        <f>INDEX($M$9:$M$15,C145)</f>
        <v/>
      </c>
      <c r="I145" s="8">
        <f>F145+H145</f>
        <v/>
      </c>
      <c r="J145" s="8">
        <f>E145-I145</f>
        <v/>
      </c>
    </row>
    <row r="146">
      <c r="A146" s="5" t="n">
        <v>142</v>
      </c>
      <c r="B146" s="6" t="n">
        <v>46238</v>
      </c>
      <c r="C146" s="5">
        <f>WEEKDAY(B146,2)</f>
        <v/>
      </c>
      <c r="D146" s="7" t="n">
        <v>106.7184</v>
      </c>
      <c r="E146" s="8">
        <f>LN(D146)</f>
        <v/>
      </c>
      <c r="F146" s="8">
        <f>$M$6+$M$5*A146</f>
        <v/>
      </c>
      <c r="G146" s="8">
        <f>E146-F146</f>
        <v/>
      </c>
      <c r="H146" s="8">
        <f>INDEX($M$9:$M$15,C146)</f>
        <v/>
      </c>
      <c r="I146" s="8">
        <f>F146+H146</f>
        <v/>
      </c>
      <c r="J146" s="8">
        <f>E146-I146</f>
        <v/>
      </c>
    </row>
    <row r="147">
      <c r="A147" s="5" t="n">
        <v>143</v>
      </c>
      <c r="B147" s="6" t="n">
        <v>46239</v>
      </c>
      <c r="C147" s="5">
        <f>WEEKDAY(B147,2)</f>
        <v/>
      </c>
      <c r="D147" s="7" t="n">
        <v>88.0887</v>
      </c>
      <c r="E147" s="8">
        <f>LN(D147)</f>
        <v/>
      </c>
      <c r="F147" s="8">
        <f>$M$6+$M$5*A147</f>
        <v/>
      </c>
      <c r="G147" s="8">
        <f>E147-F147</f>
        <v/>
      </c>
      <c r="H147" s="8">
        <f>INDEX($M$9:$M$15,C147)</f>
        <v/>
      </c>
      <c r="I147" s="8">
        <f>F147+H147</f>
        <v/>
      </c>
      <c r="J147" s="8">
        <f>E147-I147</f>
        <v/>
      </c>
    </row>
    <row r="148">
      <c r="A148" s="5" t="n">
        <v>144</v>
      </c>
      <c r="B148" s="6" t="n">
        <v>46240</v>
      </c>
      <c r="C148" s="5">
        <f>WEEKDAY(B148,2)</f>
        <v/>
      </c>
      <c r="D148" s="7" t="n">
        <v>86.1681</v>
      </c>
      <c r="E148" s="8">
        <f>LN(D148)</f>
        <v/>
      </c>
      <c r="F148" s="8">
        <f>$M$6+$M$5*A148</f>
        <v/>
      </c>
      <c r="G148" s="8">
        <f>E148-F148</f>
        <v/>
      </c>
      <c r="H148" s="8">
        <f>INDEX($M$9:$M$15,C148)</f>
        <v/>
      </c>
      <c r="I148" s="8">
        <f>F148+H148</f>
        <v/>
      </c>
      <c r="J148" s="8">
        <f>E148-I148</f>
        <v/>
      </c>
    </row>
    <row r="149">
      <c r="A149" s="5" t="n">
        <v>145</v>
      </c>
      <c r="B149" s="6" t="n">
        <v>46241</v>
      </c>
      <c r="C149" s="5">
        <f>WEEKDAY(B149,2)</f>
        <v/>
      </c>
      <c r="D149" s="7" t="n">
        <v>106.3736</v>
      </c>
      <c r="E149" s="8">
        <f>LN(D149)</f>
        <v/>
      </c>
      <c r="F149" s="8">
        <f>$M$6+$M$5*A149</f>
        <v/>
      </c>
      <c r="G149" s="8">
        <f>E149-F149</f>
        <v/>
      </c>
      <c r="H149" s="8">
        <f>INDEX($M$9:$M$15,C149)</f>
        <v/>
      </c>
      <c r="I149" s="8">
        <f>F149+H149</f>
        <v/>
      </c>
      <c r="J149" s="8">
        <f>E149-I149</f>
        <v/>
      </c>
    </row>
    <row r="150">
      <c r="A150" s="5" t="n">
        <v>146</v>
      </c>
      <c r="B150" s="6" t="n">
        <v>46242</v>
      </c>
      <c r="C150" s="5">
        <f>WEEKDAY(B150,2)</f>
        <v/>
      </c>
      <c r="D150" s="7" t="n">
        <v>95.8477</v>
      </c>
      <c r="E150" s="8">
        <f>LN(D150)</f>
        <v/>
      </c>
      <c r="F150" s="8">
        <f>$M$6+$M$5*A150</f>
        <v/>
      </c>
      <c r="G150" s="8">
        <f>E150-F150</f>
        <v/>
      </c>
      <c r="H150" s="8">
        <f>INDEX($M$9:$M$15,C150)</f>
        <v/>
      </c>
      <c r="I150" s="8">
        <f>F150+H150</f>
        <v/>
      </c>
      <c r="J150" s="8">
        <f>E150-I150</f>
        <v/>
      </c>
    </row>
    <row r="151">
      <c r="A151" s="5" t="n">
        <v>147</v>
      </c>
      <c r="B151" s="6" t="n">
        <v>46243</v>
      </c>
      <c r="C151" s="5">
        <f>WEEKDAY(B151,2)</f>
        <v/>
      </c>
      <c r="D151" s="7" t="n">
        <v>92.8629</v>
      </c>
      <c r="E151" s="8">
        <f>LN(D151)</f>
        <v/>
      </c>
      <c r="F151" s="8">
        <f>$M$6+$M$5*A151</f>
        <v/>
      </c>
      <c r="G151" s="8">
        <f>E151-F151</f>
        <v/>
      </c>
      <c r="H151" s="8">
        <f>INDEX($M$9:$M$15,C151)</f>
        <v/>
      </c>
      <c r="I151" s="8">
        <f>F151+H151</f>
        <v/>
      </c>
      <c r="J151" s="8">
        <f>E151-I151</f>
        <v/>
      </c>
    </row>
    <row r="152">
      <c r="A152" s="5" t="n">
        <v>148</v>
      </c>
      <c r="B152" s="6" t="n">
        <v>46244</v>
      </c>
      <c r="C152" s="5">
        <f>WEEKDAY(B152,2)</f>
        <v/>
      </c>
      <c r="D152" s="7" t="n">
        <v>115.1141</v>
      </c>
      <c r="E152" s="8">
        <f>LN(D152)</f>
        <v/>
      </c>
      <c r="F152" s="8">
        <f>$M$6+$M$5*A152</f>
        <v/>
      </c>
      <c r="G152" s="8">
        <f>E152-F152</f>
        <v/>
      </c>
      <c r="H152" s="8">
        <f>INDEX($M$9:$M$15,C152)</f>
        <v/>
      </c>
      <c r="I152" s="8">
        <f>F152+H152</f>
        <v/>
      </c>
      <c r="J152" s="8">
        <f>E152-I152</f>
        <v/>
      </c>
    </row>
    <row r="153">
      <c r="A153" s="5" t="n">
        <v>149</v>
      </c>
      <c r="B153" s="6" t="n">
        <v>46245</v>
      </c>
      <c r="C153" s="5">
        <f>WEEKDAY(B153,2)</f>
        <v/>
      </c>
      <c r="D153" s="7" t="n">
        <v>118.4201</v>
      </c>
      <c r="E153" s="8">
        <f>LN(D153)</f>
        <v/>
      </c>
      <c r="F153" s="8">
        <f>$M$6+$M$5*A153</f>
        <v/>
      </c>
      <c r="G153" s="8">
        <f>E153-F153</f>
        <v/>
      </c>
      <c r="H153" s="8">
        <f>INDEX($M$9:$M$15,C153)</f>
        <v/>
      </c>
      <c r="I153" s="8">
        <f>F153+H153</f>
        <v/>
      </c>
      <c r="J153" s="8">
        <f>E153-I153</f>
        <v/>
      </c>
    </row>
    <row r="154">
      <c r="A154" s="5" t="n">
        <v>150</v>
      </c>
      <c r="B154" s="6" t="n">
        <v>46246</v>
      </c>
      <c r="C154" s="5">
        <f>WEEKDAY(B154,2)</f>
        <v/>
      </c>
      <c r="D154" s="7" t="n">
        <v>118.7923</v>
      </c>
      <c r="E154" s="8">
        <f>LN(D154)</f>
        <v/>
      </c>
      <c r="F154" s="8">
        <f>$M$6+$M$5*A154</f>
        <v/>
      </c>
      <c r="G154" s="8">
        <f>E154-F154</f>
        <v/>
      </c>
      <c r="H154" s="8">
        <f>INDEX($M$9:$M$15,C154)</f>
        <v/>
      </c>
      <c r="I154" s="8">
        <f>F154+H154</f>
        <v/>
      </c>
      <c r="J154" s="8">
        <f>E154-I154</f>
        <v/>
      </c>
    </row>
    <row r="155">
      <c r="A155" s="5" t="n">
        <v>151</v>
      </c>
      <c r="B155" s="6" t="n">
        <v>46247</v>
      </c>
      <c r="C155" s="5">
        <f>WEEKDAY(B155,2)</f>
        <v/>
      </c>
      <c r="D155" s="7" t="n">
        <v>106.678</v>
      </c>
      <c r="E155" s="8">
        <f>LN(D155)</f>
        <v/>
      </c>
      <c r="F155" s="8">
        <f>$M$6+$M$5*A155</f>
        <v/>
      </c>
      <c r="G155" s="8">
        <f>E155-F155</f>
        <v/>
      </c>
      <c r="H155" s="8">
        <f>INDEX($M$9:$M$15,C155)</f>
        <v/>
      </c>
      <c r="I155" s="8">
        <f>F155+H155</f>
        <v/>
      </c>
      <c r="J155" s="8">
        <f>E155-I155</f>
        <v/>
      </c>
    </row>
    <row r="156">
      <c r="A156" s="5" t="n">
        <v>152</v>
      </c>
      <c r="B156" s="6" t="n">
        <v>46248</v>
      </c>
      <c r="C156" s="5">
        <f>WEEKDAY(B156,2)</f>
        <v/>
      </c>
      <c r="D156" s="7" t="n">
        <v>120.7282</v>
      </c>
      <c r="E156" s="8">
        <f>LN(D156)</f>
        <v/>
      </c>
      <c r="F156" s="8">
        <f>$M$6+$M$5*A156</f>
        <v/>
      </c>
      <c r="G156" s="8">
        <f>E156-F156</f>
        <v/>
      </c>
      <c r="H156" s="8">
        <f>INDEX($M$9:$M$15,C156)</f>
        <v/>
      </c>
      <c r="I156" s="8">
        <f>F156+H156</f>
        <v/>
      </c>
      <c r="J156" s="8">
        <f>E156-I156</f>
        <v/>
      </c>
    </row>
    <row r="157">
      <c r="A157" s="5" t="n">
        <v>153</v>
      </c>
      <c r="B157" s="6" t="n">
        <v>46249</v>
      </c>
      <c r="C157" s="5">
        <f>WEEKDAY(B157,2)</f>
        <v/>
      </c>
      <c r="D157" s="7" t="n">
        <v>87.2871</v>
      </c>
      <c r="E157" s="8">
        <f>LN(D157)</f>
        <v/>
      </c>
      <c r="F157" s="8">
        <f>$M$6+$M$5*A157</f>
        <v/>
      </c>
      <c r="G157" s="8">
        <f>E157-F157</f>
        <v/>
      </c>
      <c r="H157" s="8">
        <f>INDEX($M$9:$M$15,C157)</f>
        <v/>
      </c>
      <c r="I157" s="8">
        <f>F157+H157</f>
        <v/>
      </c>
      <c r="J157" s="8">
        <f>E157-I157</f>
        <v/>
      </c>
    </row>
    <row r="158">
      <c r="A158" s="5" t="n">
        <v>154</v>
      </c>
      <c r="B158" s="6" t="n">
        <v>46250</v>
      </c>
      <c r="C158" s="5">
        <f>WEEKDAY(B158,2)</f>
        <v/>
      </c>
      <c r="D158" s="7" t="n">
        <v>101.5179</v>
      </c>
      <c r="E158" s="8">
        <f>LN(D158)</f>
        <v/>
      </c>
      <c r="F158" s="8">
        <f>$M$6+$M$5*A158</f>
        <v/>
      </c>
      <c r="G158" s="8">
        <f>E158-F158</f>
        <v/>
      </c>
      <c r="H158" s="8">
        <f>INDEX($M$9:$M$15,C158)</f>
        <v/>
      </c>
      <c r="I158" s="8">
        <f>F158+H158</f>
        <v/>
      </c>
      <c r="J158" s="8">
        <f>E158-I158</f>
        <v/>
      </c>
    </row>
    <row r="159">
      <c r="A159" s="5" t="n">
        <v>155</v>
      </c>
      <c r="B159" s="6" t="n">
        <v>46251</v>
      </c>
      <c r="C159" s="5">
        <f>WEEKDAY(B159,2)</f>
        <v/>
      </c>
      <c r="D159" s="7" t="n">
        <v>101.0973</v>
      </c>
      <c r="E159" s="8">
        <f>LN(D159)</f>
        <v/>
      </c>
      <c r="F159" s="8">
        <f>$M$6+$M$5*A159</f>
        <v/>
      </c>
      <c r="G159" s="8">
        <f>E159-F159</f>
        <v/>
      </c>
      <c r="H159" s="8">
        <f>INDEX($M$9:$M$15,C159)</f>
        <v/>
      </c>
      <c r="I159" s="8">
        <f>F159+H159</f>
        <v/>
      </c>
      <c r="J159" s="8">
        <f>E159-I159</f>
        <v/>
      </c>
    </row>
    <row r="160">
      <c r="A160" s="5" t="n">
        <v>156</v>
      </c>
      <c r="B160" s="6" t="n">
        <v>46252</v>
      </c>
      <c r="C160" s="5">
        <f>WEEKDAY(B160,2)</f>
        <v/>
      </c>
      <c r="D160" s="7" t="n">
        <v>100.6186</v>
      </c>
      <c r="E160" s="8">
        <f>LN(D160)</f>
        <v/>
      </c>
      <c r="F160" s="8">
        <f>$M$6+$M$5*A160</f>
        <v/>
      </c>
      <c r="G160" s="8">
        <f>E160-F160</f>
        <v/>
      </c>
      <c r="H160" s="8">
        <f>INDEX($M$9:$M$15,C160)</f>
        <v/>
      </c>
      <c r="I160" s="8">
        <f>F160+H160</f>
        <v/>
      </c>
      <c r="J160" s="8">
        <f>E160-I160</f>
        <v/>
      </c>
    </row>
    <row r="161">
      <c r="A161" s="5" t="n">
        <v>157</v>
      </c>
      <c r="B161" s="6" t="n">
        <v>46253</v>
      </c>
      <c r="C161" s="5">
        <f>WEEKDAY(B161,2)</f>
        <v/>
      </c>
      <c r="D161" s="7" t="n">
        <v>107.562</v>
      </c>
      <c r="E161" s="8">
        <f>LN(D161)</f>
        <v/>
      </c>
      <c r="F161" s="8">
        <f>$M$6+$M$5*A161</f>
        <v/>
      </c>
      <c r="G161" s="8">
        <f>E161-F161</f>
        <v/>
      </c>
      <c r="H161" s="8">
        <f>INDEX($M$9:$M$15,C161)</f>
        <v/>
      </c>
      <c r="I161" s="8">
        <f>F161+H161</f>
        <v/>
      </c>
      <c r="J161" s="8">
        <f>E161-I161</f>
        <v/>
      </c>
    </row>
    <row r="162">
      <c r="A162" s="5" t="n">
        <v>158</v>
      </c>
      <c r="B162" s="6" t="n">
        <v>46254</v>
      </c>
      <c r="C162" s="5">
        <f>WEEKDAY(B162,2)</f>
        <v/>
      </c>
      <c r="D162" s="7" t="n">
        <v>102.7359</v>
      </c>
      <c r="E162" s="8">
        <f>LN(D162)</f>
        <v/>
      </c>
      <c r="F162" s="8">
        <f>$M$6+$M$5*A162</f>
        <v/>
      </c>
      <c r="G162" s="8">
        <f>E162-F162</f>
        <v/>
      </c>
      <c r="H162" s="8">
        <f>INDEX($M$9:$M$15,C162)</f>
        <v/>
      </c>
      <c r="I162" s="8">
        <f>F162+H162</f>
        <v/>
      </c>
      <c r="J162" s="8">
        <f>E162-I162</f>
        <v/>
      </c>
    </row>
    <row r="163">
      <c r="A163" s="5" t="n">
        <v>159</v>
      </c>
      <c r="B163" s="6" t="n">
        <v>46255</v>
      </c>
      <c r="C163" s="5">
        <f>WEEKDAY(B163,2)</f>
        <v/>
      </c>
      <c r="D163" s="7" t="n">
        <v>102.8621</v>
      </c>
      <c r="E163" s="8">
        <f>LN(D163)</f>
        <v/>
      </c>
      <c r="F163" s="8">
        <f>$M$6+$M$5*A163</f>
        <v/>
      </c>
      <c r="G163" s="8">
        <f>E163-F163</f>
        <v/>
      </c>
      <c r="H163" s="8">
        <f>INDEX($M$9:$M$15,C163)</f>
        <v/>
      </c>
      <c r="I163" s="8">
        <f>F163+H163</f>
        <v/>
      </c>
      <c r="J163" s="8">
        <f>E163-I163</f>
        <v/>
      </c>
    </row>
    <row r="164">
      <c r="A164" s="5" t="n">
        <v>160</v>
      </c>
      <c r="B164" s="6" t="n">
        <v>46256</v>
      </c>
      <c r="C164" s="5">
        <f>WEEKDAY(B164,2)</f>
        <v/>
      </c>
      <c r="D164" s="7" t="n">
        <v>85.0694</v>
      </c>
      <c r="E164" s="8">
        <f>LN(D164)</f>
        <v/>
      </c>
      <c r="F164" s="8">
        <f>$M$6+$M$5*A164</f>
        <v/>
      </c>
      <c r="G164" s="8">
        <f>E164-F164</f>
        <v/>
      </c>
      <c r="H164" s="8">
        <f>INDEX($M$9:$M$15,C164)</f>
        <v/>
      </c>
      <c r="I164" s="8">
        <f>F164+H164</f>
        <v/>
      </c>
      <c r="J164" s="8">
        <f>E164-I164</f>
        <v/>
      </c>
    </row>
    <row r="165">
      <c r="A165" s="5" t="n">
        <v>161</v>
      </c>
      <c r="B165" s="6" t="n">
        <v>46257</v>
      </c>
      <c r="C165" s="5">
        <f>WEEKDAY(B165,2)</f>
        <v/>
      </c>
      <c r="D165" s="7" t="n">
        <v>71.56489999999999</v>
      </c>
      <c r="E165" s="8">
        <f>LN(D165)</f>
        <v/>
      </c>
      <c r="F165" s="8">
        <f>$M$6+$M$5*A165</f>
        <v/>
      </c>
      <c r="G165" s="8">
        <f>E165-F165</f>
        <v/>
      </c>
      <c r="H165" s="8">
        <f>INDEX($M$9:$M$15,C165)</f>
        <v/>
      </c>
      <c r="I165" s="8">
        <f>F165+H165</f>
        <v/>
      </c>
      <c r="J165" s="8">
        <f>E165-I165</f>
        <v/>
      </c>
    </row>
    <row r="166">
      <c r="A166" s="5" t="n">
        <v>162</v>
      </c>
      <c r="B166" s="6" t="n">
        <v>46258</v>
      </c>
      <c r="C166" s="5">
        <f>WEEKDAY(B166,2)</f>
        <v/>
      </c>
      <c r="D166" s="7" t="n">
        <v>93.24679999999999</v>
      </c>
      <c r="E166" s="8">
        <f>LN(D166)</f>
        <v/>
      </c>
      <c r="F166" s="8">
        <f>$M$6+$M$5*A166</f>
        <v/>
      </c>
      <c r="G166" s="8">
        <f>E166-F166</f>
        <v/>
      </c>
      <c r="H166" s="8">
        <f>INDEX($M$9:$M$15,C166)</f>
        <v/>
      </c>
      <c r="I166" s="8">
        <f>F166+H166</f>
        <v/>
      </c>
      <c r="J166" s="8">
        <f>E166-I166</f>
        <v/>
      </c>
    </row>
    <row r="167">
      <c r="A167" s="5" t="n">
        <v>163</v>
      </c>
      <c r="B167" s="6" t="n">
        <v>46259</v>
      </c>
      <c r="C167" s="5">
        <f>WEEKDAY(B167,2)</f>
        <v/>
      </c>
      <c r="D167" s="7" t="n">
        <v>115.4037</v>
      </c>
      <c r="E167" s="8">
        <f>LN(D167)</f>
        <v/>
      </c>
      <c r="F167" s="8">
        <f>$M$6+$M$5*A167</f>
        <v/>
      </c>
      <c r="G167" s="8">
        <f>E167-F167</f>
        <v/>
      </c>
      <c r="H167" s="8">
        <f>INDEX($M$9:$M$15,C167)</f>
        <v/>
      </c>
      <c r="I167" s="8">
        <f>F167+H167</f>
        <v/>
      </c>
      <c r="J167" s="8">
        <f>E167-I167</f>
        <v/>
      </c>
    </row>
    <row r="168">
      <c r="A168" s="5" t="n">
        <v>164</v>
      </c>
      <c r="B168" s="6" t="n">
        <v>46260</v>
      </c>
      <c r="C168" s="5">
        <f>WEEKDAY(B168,2)</f>
        <v/>
      </c>
      <c r="D168" s="7" t="n">
        <v>116.9634</v>
      </c>
      <c r="E168" s="8">
        <f>LN(D168)</f>
        <v/>
      </c>
      <c r="F168" s="8">
        <f>$M$6+$M$5*A168</f>
        <v/>
      </c>
      <c r="G168" s="8">
        <f>E168-F168</f>
        <v/>
      </c>
      <c r="H168" s="8">
        <f>INDEX($M$9:$M$15,C168)</f>
        <v/>
      </c>
      <c r="I168" s="8">
        <f>F168+H168</f>
        <v/>
      </c>
      <c r="J168" s="8">
        <f>E168-I168</f>
        <v/>
      </c>
    </row>
    <row r="169">
      <c r="A169" s="5" t="n">
        <v>165</v>
      </c>
      <c r="B169" s="6" t="n">
        <v>46261</v>
      </c>
      <c r="C169" s="5">
        <f>WEEKDAY(B169,2)</f>
        <v/>
      </c>
      <c r="D169" s="7" t="n">
        <v>95.73820000000001</v>
      </c>
      <c r="E169" s="8">
        <f>LN(D169)</f>
        <v/>
      </c>
      <c r="F169" s="8">
        <f>$M$6+$M$5*A169</f>
        <v/>
      </c>
      <c r="G169" s="8">
        <f>E169-F169</f>
        <v/>
      </c>
      <c r="H169" s="8">
        <f>INDEX($M$9:$M$15,C169)</f>
        <v/>
      </c>
      <c r="I169" s="8">
        <f>F169+H169</f>
        <v/>
      </c>
      <c r="J169" s="8">
        <f>E169-I169</f>
        <v/>
      </c>
    </row>
    <row r="170">
      <c r="A170" s="5" t="n">
        <v>166</v>
      </c>
      <c r="B170" s="6" t="n">
        <v>46262</v>
      </c>
      <c r="C170" s="5">
        <f>WEEKDAY(B170,2)</f>
        <v/>
      </c>
      <c r="D170" s="7" t="n">
        <v>107.0201</v>
      </c>
      <c r="E170" s="8">
        <f>LN(D170)</f>
        <v/>
      </c>
      <c r="F170" s="8">
        <f>$M$6+$M$5*A170</f>
        <v/>
      </c>
      <c r="G170" s="8">
        <f>E170-F170</f>
        <v/>
      </c>
      <c r="H170" s="8">
        <f>INDEX($M$9:$M$15,C170)</f>
        <v/>
      </c>
      <c r="I170" s="8">
        <f>F170+H170</f>
        <v/>
      </c>
      <c r="J170" s="8">
        <f>E170-I170</f>
        <v/>
      </c>
    </row>
    <row r="171">
      <c r="A171" s="5" t="n">
        <v>167</v>
      </c>
      <c r="B171" s="6" t="n">
        <v>46263</v>
      </c>
      <c r="C171" s="5">
        <f>WEEKDAY(B171,2)</f>
        <v/>
      </c>
      <c r="D171" s="7" t="n">
        <v>86.48</v>
      </c>
      <c r="E171" s="8">
        <f>LN(D171)</f>
        <v/>
      </c>
      <c r="F171" s="8">
        <f>$M$6+$M$5*A171</f>
        <v/>
      </c>
      <c r="G171" s="8">
        <f>E171-F171</f>
        <v/>
      </c>
      <c r="H171" s="8">
        <f>INDEX($M$9:$M$15,C171)</f>
        <v/>
      </c>
      <c r="I171" s="8">
        <f>F171+H171</f>
        <v/>
      </c>
      <c r="J171" s="8">
        <f>E171-I171</f>
        <v/>
      </c>
    </row>
    <row r="172">
      <c r="A172" s="5" t="n">
        <v>168</v>
      </c>
      <c r="B172" s="6" t="n">
        <v>46264</v>
      </c>
      <c r="C172" s="5">
        <f>WEEKDAY(B172,2)</f>
        <v/>
      </c>
      <c r="D172" s="7" t="n">
        <v>90.9532</v>
      </c>
      <c r="E172" s="8">
        <f>LN(D172)</f>
        <v/>
      </c>
      <c r="F172" s="8">
        <f>$M$6+$M$5*A172</f>
        <v/>
      </c>
      <c r="G172" s="8">
        <f>E172-F172</f>
        <v/>
      </c>
      <c r="H172" s="8">
        <f>INDEX($M$9:$M$15,C172)</f>
        <v/>
      </c>
      <c r="I172" s="8">
        <f>F172+H172</f>
        <v/>
      </c>
      <c r="J172" s="8">
        <f>E172-I172</f>
        <v/>
      </c>
    </row>
    <row r="173">
      <c r="A173" s="5" t="n">
        <v>169</v>
      </c>
      <c r="B173" s="6" t="n">
        <v>46265</v>
      </c>
      <c r="C173" s="5">
        <f>WEEKDAY(B173,2)</f>
        <v/>
      </c>
      <c r="D173" s="7" t="n">
        <v>102.3948</v>
      </c>
      <c r="E173" s="8">
        <f>LN(D173)</f>
        <v/>
      </c>
      <c r="F173" s="8">
        <f>$M$6+$M$5*A173</f>
        <v/>
      </c>
      <c r="G173" s="8">
        <f>E173-F173</f>
        <v/>
      </c>
      <c r="H173" s="8">
        <f>INDEX($M$9:$M$15,C173)</f>
        <v/>
      </c>
      <c r="I173" s="8">
        <f>F173+H173</f>
        <v/>
      </c>
      <c r="J173" s="8">
        <f>E173-I173</f>
        <v/>
      </c>
    </row>
    <row r="174">
      <c r="A174" s="5" t="n">
        <v>170</v>
      </c>
      <c r="B174" s="6" t="n">
        <v>46266</v>
      </c>
      <c r="C174" s="5">
        <f>WEEKDAY(B174,2)</f>
        <v/>
      </c>
      <c r="D174" s="7" t="n">
        <v>100.4478</v>
      </c>
      <c r="E174" s="8">
        <f>LN(D174)</f>
        <v/>
      </c>
      <c r="F174" s="8">
        <f>$M$6+$M$5*A174</f>
        <v/>
      </c>
      <c r="G174" s="8">
        <f>E174-F174</f>
        <v/>
      </c>
      <c r="H174" s="8">
        <f>INDEX($M$9:$M$15,C174)</f>
        <v/>
      </c>
      <c r="I174" s="8">
        <f>F174+H174</f>
        <v/>
      </c>
      <c r="J174" s="8">
        <f>E174-I174</f>
        <v/>
      </c>
    </row>
    <row r="175">
      <c r="A175" s="5" t="n">
        <v>171</v>
      </c>
      <c r="B175" s="6" t="n">
        <v>46267</v>
      </c>
      <c r="C175" s="5">
        <f>WEEKDAY(B175,2)</f>
        <v/>
      </c>
      <c r="D175" s="7" t="n">
        <v>94.8557</v>
      </c>
      <c r="E175" s="8">
        <f>LN(D175)</f>
        <v/>
      </c>
      <c r="F175" s="8">
        <f>$M$6+$M$5*A175</f>
        <v/>
      </c>
      <c r="G175" s="8">
        <f>E175-F175</f>
        <v/>
      </c>
      <c r="H175" s="8">
        <f>INDEX($M$9:$M$15,C175)</f>
        <v/>
      </c>
      <c r="I175" s="8">
        <f>F175+H175</f>
        <v/>
      </c>
      <c r="J175" s="8">
        <f>E175-I175</f>
        <v/>
      </c>
    </row>
    <row r="176">
      <c r="A176" s="5" t="n">
        <v>172</v>
      </c>
      <c r="B176" s="6" t="n">
        <v>46268</v>
      </c>
      <c r="C176" s="5">
        <f>WEEKDAY(B176,2)</f>
        <v/>
      </c>
      <c r="D176" s="7" t="n">
        <v>104.5768</v>
      </c>
      <c r="E176" s="8">
        <f>LN(D176)</f>
        <v/>
      </c>
      <c r="F176" s="8">
        <f>$M$6+$M$5*A176</f>
        <v/>
      </c>
      <c r="G176" s="8">
        <f>E176-F176</f>
        <v/>
      </c>
      <c r="H176" s="8">
        <f>INDEX($M$9:$M$15,C176)</f>
        <v/>
      </c>
      <c r="I176" s="8">
        <f>F176+H176</f>
        <v/>
      </c>
      <c r="J176" s="8">
        <f>E176-I176</f>
        <v/>
      </c>
    </row>
    <row r="177">
      <c r="A177" s="5" t="n">
        <v>173</v>
      </c>
      <c r="B177" s="6" t="n">
        <v>46269</v>
      </c>
      <c r="C177" s="5">
        <f>WEEKDAY(B177,2)</f>
        <v/>
      </c>
      <c r="D177" s="7" t="n">
        <v>94.983</v>
      </c>
      <c r="E177" s="8">
        <f>LN(D177)</f>
        <v/>
      </c>
      <c r="F177" s="8">
        <f>$M$6+$M$5*A177</f>
        <v/>
      </c>
      <c r="G177" s="8">
        <f>E177-F177</f>
        <v/>
      </c>
      <c r="H177" s="8">
        <f>INDEX($M$9:$M$15,C177)</f>
        <v/>
      </c>
      <c r="I177" s="8">
        <f>F177+H177</f>
        <v/>
      </c>
      <c r="J177" s="8">
        <f>E177-I177</f>
        <v/>
      </c>
    </row>
    <row r="178">
      <c r="A178" s="5" t="n">
        <v>174</v>
      </c>
      <c r="B178" s="6" t="n">
        <v>46270</v>
      </c>
      <c r="C178" s="5">
        <f>WEEKDAY(B178,2)</f>
        <v/>
      </c>
      <c r="D178" s="7" t="n">
        <v>104.56</v>
      </c>
      <c r="E178" s="8">
        <f>LN(D178)</f>
        <v/>
      </c>
      <c r="F178" s="8">
        <f>$M$6+$M$5*A178</f>
        <v/>
      </c>
      <c r="G178" s="8">
        <f>E178-F178</f>
        <v/>
      </c>
      <c r="H178" s="8">
        <f>INDEX($M$9:$M$15,C178)</f>
        <v/>
      </c>
      <c r="I178" s="8">
        <f>F178+H178</f>
        <v/>
      </c>
      <c r="J178" s="8">
        <f>E178-I178</f>
        <v/>
      </c>
    </row>
    <row r="179">
      <c r="A179" s="5" t="n">
        <v>175</v>
      </c>
      <c r="B179" s="6" t="n">
        <v>46271</v>
      </c>
      <c r="C179" s="5">
        <f>WEEKDAY(B179,2)</f>
        <v/>
      </c>
      <c r="D179" s="7" t="n">
        <v>95.6658</v>
      </c>
      <c r="E179" s="8">
        <f>LN(D179)</f>
        <v/>
      </c>
      <c r="F179" s="8">
        <f>$M$6+$M$5*A179</f>
        <v/>
      </c>
      <c r="G179" s="8">
        <f>E179-F179</f>
        <v/>
      </c>
      <c r="H179" s="8">
        <f>INDEX($M$9:$M$15,C179)</f>
        <v/>
      </c>
      <c r="I179" s="8">
        <f>F179+H179</f>
        <v/>
      </c>
      <c r="J179" s="8">
        <f>E179-I179</f>
        <v/>
      </c>
    </row>
    <row r="180">
      <c r="A180" s="5" t="n">
        <v>176</v>
      </c>
      <c r="B180" s="6" t="n">
        <v>46272</v>
      </c>
      <c r="C180" s="5">
        <f>WEEKDAY(B180,2)</f>
        <v/>
      </c>
      <c r="D180" s="7" t="n">
        <v>105.2189</v>
      </c>
      <c r="E180" s="8">
        <f>LN(D180)</f>
        <v/>
      </c>
      <c r="F180" s="8">
        <f>$M$6+$M$5*A180</f>
        <v/>
      </c>
      <c r="G180" s="8">
        <f>E180-F180</f>
        <v/>
      </c>
      <c r="H180" s="8">
        <f>INDEX($M$9:$M$15,C180)</f>
        <v/>
      </c>
      <c r="I180" s="8">
        <f>F180+H180</f>
        <v/>
      </c>
      <c r="J180" s="8">
        <f>E180-I180</f>
        <v/>
      </c>
    </row>
    <row r="181">
      <c r="A181" s="5" t="n">
        <v>177</v>
      </c>
      <c r="B181" s="6" t="n">
        <v>46273</v>
      </c>
      <c r="C181" s="5">
        <f>WEEKDAY(B181,2)</f>
        <v/>
      </c>
      <c r="D181" s="7" t="n">
        <v>119.4266</v>
      </c>
      <c r="E181" s="8">
        <f>LN(D181)</f>
        <v/>
      </c>
      <c r="F181" s="8">
        <f>$M$6+$M$5*A181</f>
        <v/>
      </c>
      <c r="G181" s="8">
        <f>E181-F181</f>
        <v/>
      </c>
      <c r="H181" s="8">
        <f>INDEX($M$9:$M$15,C181)</f>
        <v/>
      </c>
      <c r="I181" s="8">
        <f>F181+H181</f>
        <v/>
      </c>
      <c r="J181" s="8">
        <f>E181-I181</f>
        <v/>
      </c>
    </row>
    <row r="182">
      <c r="A182" s="5" t="n">
        <v>178</v>
      </c>
      <c r="B182" s="6" t="n">
        <v>46274</v>
      </c>
      <c r="C182" s="5">
        <f>WEEKDAY(B182,2)</f>
        <v/>
      </c>
      <c r="D182" s="7" t="n">
        <v>91.27719999999999</v>
      </c>
      <c r="E182" s="8">
        <f>LN(D182)</f>
        <v/>
      </c>
      <c r="F182" s="8">
        <f>$M$6+$M$5*A182</f>
        <v/>
      </c>
      <c r="G182" s="8">
        <f>E182-F182</f>
        <v/>
      </c>
      <c r="H182" s="8">
        <f>INDEX($M$9:$M$15,C182)</f>
        <v/>
      </c>
      <c r="I182" s="8">
        <f>F182+H182</f>
        <v/>
      </c>
      <c r="J182" s="8">
        <f>E182-I182</f>
        <v/>
      </c>
    </row>
    <row r="183">
      <c r="A183" s="5" t="n">
        <v>179</v>
      </c>
      <c r="B183" s="6" t="n">
        <v>46275</v>
      </c>
      <c r="C183" s="5">
        <f>WEEKDAY(B183,2)</f>
        <v/>
      </c>
      <c r="D183" s="7" t="n">
        <v>97.1474</v>
      </c>
      <c r="E183" s="8">
        <f>LN(D183)</f>
        <v/>
      </c>
      <c r="F183" s="8">
        <f>$M$6+$M$5*A183</f>
        <v/>
      </c>
      <c r="G183" s="8">
        <f>E183-F183</f>
        <v/>
      </c>
      <c r="H183" s="8">
        <f>INDEX($M$9:$M$15,C183)</f>
        <v/>
      </c>
      <c r="I183" s="8">
        <f>F183+H183</f>
        <v/>
      </c>
      <c r="J183" s="8">
        <f>E183-I183</f>
        <v/>
      </c>
    </row>
    <row r="184">
      <c r="A184" s="5" t="n">
        <v>180</v>
      </c>
      <c r="B184" s="6" t="n">
        <v>46276</v>
      </c>
      <c r="C184" s="5">
        <f>WEEKDAY(B184,2)</f>
        <v/>
      </c>
      <c r="D184" s="7" t="n">
        <v>102.2748</v>
      </c>
      <c r="E184" s="8">
        <f>LN(D184)</f>
        <v/>
      </c>
      <c r="F184" s="8">
        <f>$M$6+$M$5*A184</f>
        <v/>
      </c>
      <c r="G184" s="8">
        <f>E184-F184</f>
        <v/>
      </c>
      <c r="H184" s="8">
        <f>INDEX($M$9:$M$15,C184)</f>
        <v/>
      </c>
      <c r="I184" s="8">
        <f>F184+H184</f>
        <v/>
      </c>
      <c r="J184" s="8">
        <f>E184-I184</f>
        <v/>
      </c>
    </row>
    <row r="186">
      <c r="A186" s="1" t="inlineStr">
        <is>
          <t>The month ahead</t>
        </is>
      </c>
    </row>
    <row r="187">
      <c r="A187" s="3" t="inlineStr">
        <is>
          <t>Day</t>
        </is>
      </c>
      <c r="B187" s="3" t="inlineStr">
        <is>
          <t>Date</t>
        </is>
      </c>
      <c r="C187" s="3" t="inlineStr">
        <is>
          <t>Weekday</t>
        </is>
      </c>
      <c r="D187" s="3" t="inlineStr"/>
      <c r="E187" s="3" t="inlineStr">
        <is>
          <t>log forecast</t>
        </is>
      </c>
      <c r="F187" s="3" t="inlineStr">
        <is>
          <t>Forecast</t>
        </is>
      </c>
      <c r="G187" s="3" t="inlineStr">
        <is>
          <t>Low</t>
        </is>
      </c>
      <c r="H187" s="3" t="inlineStr">
        <is>
          <t>High</t>
        </is>
      </c>
    </row>
    <row r="188">
      <c r="A188" s="5" t="n">
        <v>181</v>
      </c>
      <c r="B188" s="6" t="n">
        <v>46277</v>
      </c>
      <c r="C188" s="5">
        <f>WEEKDAY(B188,2)</f>
        <v/>
      </c>
      <c r="E188" s="8">
        <f>$M$6+$M$5*A188+INDEX($M$9:$M$15,C188)</f>
        <v/>
      </c>
      <c r="F188" s="13">
        <f>EXP(E188)</f>
        <v/>
      </c>
      <c r="G188" s="14">
        <f>EXP(E188-$M$18*$M$17)</f>
        <v/>
      </c>
      <c r="H188" s="14">
        <f>EXP(E188+$M$18*$M$17)</f>
        <v/>
      </c>
    </row>
    <row r="189">
      <c r="A189" s="5" t="n">
        <v>182</v>
      </c>
      <c r="B189" s="6" t="n">
        <v>46278</v>
      </c>
      <c r="C189" s="5">
        <f>WEEKDAY(B189,2)</f>
        <v/>
      </c>
      <c r="E189" s="8">
        <f>$M$6+$M$5*A189+INDEX($M$9:$M$15,C189)</f>
        <v/>
      </c>
      <c r="F189" s="13">
        <f>EXP(E189)</f>
        <v/>
      </c>
      <c r="G189" s="14">
        <f>EXP(E189-$M$18*$M$17)</f>
        <v/>
      </c>
      <c r="H189" s="14">
        <f>EXP(E189+$M$18*$M$17)</f>
        <v/>
      </c>
    </row>
    <row r="190">
      <c r="A190" s="5" t="n">
        <v>183</v>
      </c>
      <c r="B190" s="6" t="n">
        <v>46279</v>
      </c>
      <c r="C190" s="5">
        <f>WEEKDAY(B190,2)</f>
        <v/>
      </c>
      <c r="E190" s="8">
        <f>$M$6+$M$5*A190+INDEX($M$9:$M$15,C190)</f>
        <v/>
      </c>
      <c r="F190" s="13">
        <f>EXP(E190)</f>
        <v/>
      </c>
      <c r="G190" s="14">
        <f>EXP(E190-$M$18*$M$17)</f>
        <v/>
      </c>
      <c r="H190" s="14">
        <f>EXP(E190+$M$18*$M$17)</f>
        <v/>
      </c>
    </row>
    <row r="191">
      <c r="A191" s="5" t="n">
        <v>184</v>
      </c>
      <c r="B191" s="6" t="n">
        <v>46280</v>
      </c>
      <c r="C191" s="5">
        <f>WEEKDAY(B191,2)</f>
        <v/>
      </c>
      <c r="E191" s="8">
        <f>$M$6+$M$5*A191+INDEX($M$9:$M$15,C191)</f>
        <v/>
      </c>
      <c r="F191" s="13">
        <f>EXP(E191)</f>
        <v/>
      </c>
      <c r="G191" s="14">
        <f>EXP(E191-$M$18*$M$17)</f>
        <v/>
      </c>
      <c r="H191" s="14">
        <f>EXP(E191+$M$18*$M$17)</f>
        <v/>
      </c>
    </row>
    <row r="192">
      <c r="A192" s="5" t="n">
        <v>185</v>
      </c>
      <c r="B192" s="6" t="n">
        <v>46281</v>
      </c>
      <c r="C192" s="5">
        <f>WEEKDAY(B192,2)</f>
        <v/>
      </c>
      <c r="E192" s="8">
        <f>$M$6+$M$5*A192+INDEX($M$9:$M$15,C192)</f>
        <v/>
      </c>
      <c r="F192" s="13">
        <f>EXP(E192)</f>
        <v/>
      </c>
      <c r="G192" s="14">
        <f>EXP(E192-$M$18*$M$17)</f>
        <v/>
      </c>
      <c r="H192" s="14">
        <f>EXP(E192+$M$18*$M$17)</f>
        <v/>
      </c>
    </row>
    <row r="193">
      <c r="A193" s="5" t="n">
        <v>186</v>
      </c>
      <c r="B193" s="6" t="n">
        <v>46282</v>
      </c>
      <c r="C193" s="5">
        <f>WEEKDAY(B193,2)</f>
        <v/>
      </c>
      <c r="E193" s="8">
        <f>$M$6+$M$5*A193+INDEX($M$9:$M$15,C193)</f>
        <v/>
      </c>
      <c r="F193" s="13">
        <f>EXP(E193)</f>
        <v/>
      </c>
      <c r="G193" s="14">
        <f>EXP(E193-$M$18*$M$17)</f>
        <v/>
      </c>
      <c r="H193" s="14">
        <f>EXP(E193+$M$18*$M$17)</f>
        <v/>
      </c>
    </row>
    <row r="194">
      <c r="A194" s="5" t="n">
        <v>187</v>
      </c>
      <c r="B194" s="6" t="n">
        <v>46283</v>
      </c>
      <c r="C194" s="5">
        <f>WEEKDAY(B194,2)</f>
        <v/>
      </c>
      <c r="E194" s="8">
        <f>$M$6+$M$5*A194+INDEX($M$9:$M$15,C194)</f>
        <v/>
      </c>
      <c r="F194" s="13">
        <f>EXP(E194)</f>
        <v/>
      </c>
      <c r="G194" s="14">
        <f>EXP(E194-$M$18*$M$17)</f>
        <v/>
      </c>
      <c r="H194" s="14">
        <f>EXP(E194+$M$18*$M$17)</f>
        <v/>
      </c>
    </row>
    <row r="195">
      <c r="A195" s="5" t="n">
        <v>188</v>
      </c>
      <c r="B195" s="6" t="n">
        <v>46284</v>
      </c>
      <c r="C195" s="5">
        <f>WEEKDAY(B195,2)</f>
        <v/>
      </c>
      <c r="E195" s="8">
        <f>$M$6+$M$5*A195+INDEX($M$9:$M$15,C195)</f>
        <v/>
      </c>
      <c r="F195" s="13">
        <f>EXP(E195)</f>
        <v/>
      </c>
      <c r="G195" s="14">
        <f>EXP(E195-$M$18*$M$17)</f>
        <v/>
      </c>
      <c r="H195" s="14">
        <f>EXP(E195+$M$18*$M$17)</f>
        <v/>
      </c>
    </row>
    <row r="196">
      <c r="A196" s="5" t="n">
        <v>189</v>
      </c>
      <c r="B196" s="6" t="n">
        <v>46285</v>
      </c>
      <c r="C196" s="5">
        <f>WEEKDAY(B196,2)</f>
        <v/>
      </c>
      <c r="E196" s="8">
        <f>$M$6+$M$5*A196+INDEX($M$9:$M$15,C196)</f>
        <v/>
      </c>
      <c r="F196" s="13">
        <f>EXP(E196)</f>
        <v/>
      </c>
      <c r="G196" s="14">
        <f>EXP(E196-$M$18*$M$17)</f>
        <v/>
      </c>
      <c r="H196" s="14">
        <f>EXP(E196+$M$18*$M$17)</f>
        <v/>
      </c>
    </row>
    <row r="197">
      <c r="A197" s="5" t="n">
        <v>190</v>
      </c>
      <c r="B197" s="6" t="n">
        <v>46286</v>
      </c>
      <c r="C197" s="5">
        <f>WEEKDAY(B197,2)</f>
        <v/>
      </c>
      <c r="E197" s="8">
        <f>$M$6+$M$5*A197+INDEX($M$9:$M$15,C197)</f>
        <v/>
      </c>
      <c r="F197" s="13">
        <f>EXP(E197)</f>
        <v/>
      </c>
      <c r="G197" s="14">
        <f>EXP(E197-$M$18*$M$17)</f>
        <v/>
      </c>
      <c r="H197" s="14">
        <f>EXP(E197+$M$18*$M$17)</f>
        <v/>
      </c>
    </row>
    <row r="198">
      <c r="A198" s="5" t="n">
        <v>191</v>
      </c>
      <c r="B198" s="6" t="n">
        <v>46287</v>
      </c>
      <c r="C198" s="5">
        <f>WEEKDAY(B198,2)</f>
        <v/>
      </c>
      <c r="E198" s="8">
        <f>$M$6+$M$5*A198+INDEX($M$9:$M$15,C198)</f>
        <v/>
      </c>
      <c r="F198" s="13">
        <f>EXP(E198)</f>
        <v/>
      </c>
      <c r="G198" s="14">
        <f>EXP(E198-$M$18*$M$17)</f>
        <v/>
      </c>
      <c r="H198" s="14">
        <f>EXP(E198+$M$18*$M$17)</f>
        <v/>
      </c>
    </row>
    <row r="199">
      <c r="A199" s="5" t="n">
        <v>192</v>
      </c>
      <c r="B199" s="6" t="n">
        <v>46288</v>
      </c>
      <c r="C199" s="5">
        <f>WEEKDAY(B199,2)</f>
        <v/>
      </c>
      <c r="E199" s="8">
        <f>$M$6+$M$5*A199+INDEX($M$9:$M$15,C199)</f>
        <v/>
      </c>
      <c r="F199" s="13">
        <f>EXP(E199)</f>
        <v/>
      </c>
      <c r="G199" s="14">
        <f>EXP(E199-$M$18*$M$17)</f>
        <v/>
      </c>
      <c r="H199" s="14">
        <f>EXP(E199+$M$18*$M$17)</f>
        <v/>
      </c>
    </row>
    <row r="200">
      <c r="A200" s="5" t="n">
        <v>193</v>
      </c>
      <c r="B200" s="6" t="n">
        <v>46289</v>
      </c>
      <c r="C200" s="5">
        <f>WEEKDAY(B200,2)</f>
        <v/>
      </c>
      <c r="E200" s="8">
        <f>$M$6+$M$5*A200+INDEX($M$9:$M$15,C200)</f>
        <v/>
      </c>
      <c r="F200" s="13">
        <f>EXP(E200)</f>
        <v/>
      </c>
      <c r="G200" s="14">
        <f>EXP(E200-$M$18*$M$17)</f>
        <v/>
      </c>
      <c r="H200" s="14">
        <f>EXP(E200+$M$18*$M$17)</f>
        <v/>
      </c>
    </row>
    <row r="201">
      <c r="A201" s="5" t="n">
        <v>194</v>
      </c>
      <c r="B201" s="6" t="n">
        <v>46290</v>
      </c>
      <c r="C201" s="5">
        <f>WEEKDAY(B201,2)</f>
        <v/>
      </c>
      <c r="E201" s="8">
        <f>$M$6+$M$5*A201+INDEX($M$9:$M$15,C201)</f>
        <v/>
      </c>
      <c r="F201" s="13">
        <f>EXP(E201)</f>
        <v/>
      </c>
      <c r="G201" s="14">
        <f>EXP(E201-$M$18*$M$17)</f>
        <v/>
      </c>
      <c r="H201" s="14">
        <f>EXP(E201+$M$18*$M$17)</f>
        <v/>
      </c>
    </row>
    <row r="202">
      <c r="A202" s="5" t="n">
        <v>195</v>
      </c>
      <c r="B202" s="6" t="n">
        <v>46291</v>
      </c>
      <c r="C202" s="5">
        <f>WEEKDAY(B202,2)</f>
        <v/>
      </c>
      <c r="E202" s="8">
        <f>$M$6+$M$5*A202+INDEX($M$9:$M$15,C202)</f>
        <v/>
      </c>
      <c r="F202" s="13">
        <f>EXP(E202)</f>
        <v/>
      </c>
      <c r="G202" s="14">
        <f>EXP(E202-$M$18*$M$17)</f>
        <v/>
      </c>
      <c r="H202" s="14">
        <f>EXP(E202+$M$18*$M$17)</f>
        <v/>
      </c>
    </row>
    <row r="203">
      <c r="A203" s="5" t="n">
        <v>196</v>
      </c>
      <c r="B203" s="6" t="n">
        <v>46292</v>
      </c>
      <c r="C203" s="5">
        <f>WEEKDAY(B203,2)</f>
        <v/>
      </c>
      <c r="E203" s="8">
        <f>$M$6+$M$5*A203+INDEX($M$9:$M$15,C203)</f>
        <v/>
      </c>
      <c r="F203" s="13">
        <f>EXP(E203)</f>
        <v/>
      </c>
      <c r="G203" s="14">
        <f>EXP(E203-$M$18*$M$17)</f>
        <v/>
      </c>
      <c r="H203" s="14">
        <f>EXP(E203+$M$18*$M$17)</f>
        <v/>
      </c>
    </row>
    <row r="204">
      <c r="A204" s="5" t="n">
        <v>197</v>
      </c>
      <c r="B204" s="6" t="n">
        <v>46293</v>
      </c>
      <c r="C204" s="5">
        <f>WEEKDAY(B204,2)</f>
        <v/>
      </c>
      <c r="E204" s="8">
        <f>$M$6+$M$5*A204+INDEX($M$9:$M$15,C204)</f>
        <v/>
      </c>
      <c r="F204" s="13">
        <f>EXP(E204)</f>
        <v/>
      </c>
      <c r="G204" s="14">
        <f>EXP(E204-$M$18*$M$17)</f>
        <v/>
      </c>
      <c r="H204" s="14">
        <f>EXP(E204+$M$18*$M$17)</f>
        <v/>
      </c>
    </row>
    <row r="205">
      <c r="A205" s="5" t="n">
        <v>198</v>
      </c>
      <c r="B205" s="6" t="n">
        <v>46294</v>
      </c>
      <c r="C205" s="5">
        <f>WEEKDAY(B205,2)</f>
        <v/>
      </c>
      <c r="E205" s="8">
        <f>$M$6+$M$5*A205+INDEX($M$9:$M$15,C205)</f>
        <v/>
      </c>
      <c r="F205" s="13">
        <f>EXP(E205)</f>
        <v/>
      </c>
      <c r="G205" s="14">
        <f>EXP(E205-$M$18*$M$17)</f>
        <v/>
      </c>
      <c r="H205" s="14">
        <f>EXP(E205+$M$18*$M$17)</f>
        <v/>
      </c>
    </row>
    <row r="206">
      <c r="A206" s="5" t="n">
        <v>199</v>
      </c>
      <c r="B206" s="6" t="n">
        <v>46295</v>
      </c>
      <c r="C206" s="5">
        <f>WEEKDAY(B206,2)</f>
        <v/>
      </c>
      <c r="E206" s="8">
        <f>$M$6+$M$5*A206+INDEX($M$9:$M$15,C206)</f>
        <v/>
      </c>
      <c r="F206" s="13">
        <f>EXP(E206)</f>
        <v/>
      </c>
      <c r="G206" s="14">
        <f>EXP(E206-$M$18*$M$17)</f>
        <v/>
      </c>
      <c r="H206" s="14">
        <f>EXP(E206+$M$18*$M$17)</f>
        <v/>
      </c>
    </row>
    <row r="207">
      <c r="A207" s="5" t="n">
        <v>200</v>
      </c>
      <c r="B207" s="6" t="n">
        <v>46296</v>
      </c>
      <c r="C207" s="5">
        <f>WEEKDAY(B207,2)</f>
        <v/>
      </c>
      <c r="E207" s="8">
        <f>$M$6+$M$5*A207+INDEX($M$9:$M$15,C207)</f>
        <v/>
      </c>
      <c r="F207" s="13">
        <f>EXP(E207)</f>
        <v/>
      </c>
      <c r="G207" s="14">
        <f>EXP(E207-$M$18*$M$17)</f>
        <v/>
      </c>
      <c r="H207" s="14">
        <f>EXP(E207+$M$18*$M$17)</f>
        <v/>
      </c>
    </row>
    <row r="208">
      <c r="A208" s="5" t="n">
        <v>201</v>
      </c>
      <c r="B208" s="6" t="n">
        <v>46297</v>
      </c>
      <c r="C208" s="5">
        <f>WEEKDAY(B208,2)</f>
        <v/>
      </c>
      <c r="E208" s="8">
        <f>$M$6+$M$5*A208+INDEX($M$9:$M$15,C208)</f>
        <v/>
      </c>
      <c r="F208" s="13">
        <f>EXP(E208)</f>
        <v/>
      </c>
      <c r="G208" s="14">
        <f>EXP(E208-$M$18*$M$17)</f>
        <v/>
      </c>
      <c r="H208" s="14">
        <f>EXP(E208+$M$18*$M$17)</f>
        <v/>
      </c>
    </row>
    <row r="209">
      <c r="A209" s="5" t="n">
        <v>202</v>
      </c>
      <c r="B209" s="6" t="n">
        <v>46298</v>
      </c>
      <c r="C209" s="5">
        <f>WEEKDAY(B209,2)</f>
        <v/>
      </c>
      <c r="E209" s="8">
        <f>$M$6+$M$5*A209+INDEX($M$9:$M$15,C209)</f>
        <v/>
      </c>
      <c r="F209" s="13">
        <f>EXP(E209)</f>
        <v/>
      </c>
      <c r="G209" s="14">
        <f>EXP(E209-$M$18*$M$17)</f>
        <v/>
      </c>
      <c r="H209" s="14">
        <f>EXP(E209+$M$18*$M$17)</f>
        <v/>
      </c>
    </row>
    <row r="210">
      <c r="A210" s="5" t="n">
        <v>203</v>
      </c>
      <c r="B210" s="6" t="n">
        <v>46299</v>
      </c>
      <c r="C210" s="5">
        <f>WEEKDAY(B210,2)</f>
        <v/>
      </c>
      <c r="E210" s="8">
        <f>$M$6+$M$5*A210+INDEX($M$9:$M$15,C210)</f>
        <v/>
      </c>
      <c r="F210" s="13">
        <f>EXP(E210)</f>
        <v/>
      </c>
      <c r="G210" s="14">
        <f>EXP(E210-$M$18*$M$17)</f>
        <v/>
      </c>
      <c r="H210" s="14">
        <f>EXP(E210+$M$18*$M$17)</f>
        <v/>
      </c>
    </row>
    <row r="211">
      <c r="A211" s="5" t="n">
        <v>204</v>
      </c>
      <c r="B211" s="6" t="n">
        <v>46300</v>
      </c>
      <c r="C211" s="5">
        <f>WEEKDAY(B211,2)</f>
        <v/>
      </c>
      <c r="E211" s="8">
        <f>$M$6+$M$5*A211+INDEX($M$9:$M$15,C211)</f>
        <v/>
      </c>
      <c r="F211" s="13">
        <f>EXP(E211)</f>
        <v/>
      </c>
      <c r="G211" s="14">
        <f>EXP(E211-$M$18*$M$17)</f>
        <v/>
      </c>
      <c r="H211" s="14">
        <f>EXP(E211+$M$18*$M$17)</f>
        <v/>
      </c>
    </row>
    <row r="212">
      <c r="A212" s="5" t="n">
        <v>205</v>
      </c>
      <c r="B212" s="6" t="n">
        <v>46301</v>
      </c>
      <c r="C212" s="5">
        <f>WEEKDAY(B212,2)</f>
        <v/>
      </c>
      <c r="E212" s="8">
        <f>$M$6+$M$5*A212+INDEX($M$9:$M$15,C212)</f>
        <v/>
      </c>
      <c r="F212" s="13">
        <f>EXP(E212)</f>
        <v/>
      </c>
      <c r="G212" s="14">
        <f>EXP(E212-$M$18*$M$17)</f>
        <v/>
      </c>
      <c r="H212" s="14">
        <f>EXP(E212+$M$18*$M$17)</f>
        <v/>
      </c>
    </row>
    <row r="213">
      <c r="A213" s="5" t="n">
        <v>206</v>
      </c>
      <c r="B213" s="6" t="n">
        <v>46302</v>
      </c>
      <c r="C213" s="5">
        <f>WEEKDAY(B213,2)</f>
        <v/>
      </c>
      <c r="E213" s="8">
        <f>$M$6+$M$5*A213+INDEX($M$9:$M$15,C213)</f>
        <v/>
      </c>
      <c r="F213" s="13">
        <f>EXP(E213)</f>
        <v/>
      </c>
      <c r="G213" s="14">
        <f>EXP(E213-$M$18*$M$17)</f>
        <v/>
      </c>
      <c r="H213" s="14">
        <f>EXP(E213+$M$18*$M$17)</f>
        <v/>
      </c>
    </row>
    <row r="214">
      <c r="A214" s="5" t="n">
        <v>207</v>
      </c>
      <c r="B214" s="6" t="n">
        <v>46303</v>
      </c>
      <c r="C214" s="5">
        <f>WEEKDAY(B214,2)</f>
        <v/>
      </c>
      <c r="E214" s="8">
        <f>$M$6+$M$5*A214+INDEX($M$9:$M$15,C214)</f>
        <v/>
      </c>
      <c r="F214" s="13">
        <f>EXP(E214)</f>
        <v/>
      </c>
      <c r="G214" s="14">
        <f>EXP(E214-$M$18*$M$17)</f>
        <v/>
      </c>
      <c r="H214" s="14">
        <f>EXP(E214+$M$18*$M$17)</f>
        <v/>
      </c>
    </row>
    <row r="215">
      <c r="A215" s="5" t="n">
        <v>208</v>
      </c>
      <c r="B215" s="6" t="n">
        <v>46304</v>
      </c>
      <c r="C215" s="5">
        <f>WEEKDAY(B215,2)</f>
        <v/>
      </c>
      <c r="E215" s="8">
        <f>$M$6+$M$5*A215+INDEX($M$9:$M$15,C215)</f>
        <v/>
      </c>
      <c r="F215" s="13">
        <f>EXP(E215)</f>
        <v/>
      </c>
      <c r="G215" s="14">
        <f>EXP(E215-$M$18*$M$17)</f>
        <v/>
      </c>
      <c r="H215" s="14">
        <f>EXP(E215+$M$18*$M$17)</f>
        <v/>
      </c>
    </row>
    <row r="216">
      <c r="A216" s="5" t="n">
        <v>209</v>
      </c>
      <c r="B216" s="6" t="n">
        <v>46305</v>
      </c>
      <c r="C216" s="5">
        <f>WEEKDAY(B216,2)</f>
        <v/>
      </c>
      <c r="E216" s="8">
        <f>$M$6+$M$5*A216+INDEX($M$9:$M$15,C216)</f>
        <v/>
      </c>
      <c r="F216" s="13">
        <f>EXP(E216)</f>
        <v/>
      </c>
      <c r="G216" s="14">
        <f>EXP(E216-$M$18*$M$17)</f>
        <v/>
      </c>
      <c r="H216" s="14">
        <f>EXP(E216+$M$18*$M$17)</f>
        <v/>
      </c>
    </row>
    <row r="217">
      <c r="A217" s="5" t="n">
        <v>210</v>
      </c>
      <c r="B217" s="6" t="n">
        <v>46306</v>
      </c>
      <c r="C217" s="5">
        <f>WEEKDAY(B217,2)</f>
        <v/>
      </c>
      <c r="E217" s="8">
        <f>$M$6+$M$5*A217+INDEX($M$9:$M$15,C217)</f>
        <v/>
      </c>
      <c r="F217" s="13">
        <f>EXP(E217)</f>
        <v/>
      </c>
      <c r="G217" s="14">
        <f>EXP(E217-$M$18*$M$17)</f>
        <v/>
      </c>
      <c r="H217" s="14">
        <f>EXP(E217+$M$18*$M$17)</f>
        <v/>
      </c>
    </row>
    <row r="218">
      <c r="E218" s="3" t="inlineStr">
        <is>
          <t>Month total</t>
        </is>
      </c>
      <c r="F218" s="15">
        <f>SUM(F188:F217)</f>
        <v/>
      </c>
      <c r="G218" s="2" t="inlineStr">
        <is>
          <t>no range for the total here: the days' misses are related, and a sheet cannot carry that. The notebook does.</t>
        </is>
      </c>
    </row>
  </sheetData>
  <mergeCells count="1">
    <mergeCell ref="L22:P24"/>
  </mergeCells>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N400"/>
  <sheetViews>
    <sheetView workbookViewId="0">
      <selection activeCell="A1" sqref="A1"/>
    </sheetView>
  </sheetViews>
  <sheetFormatPr baseColWidth="8" defaultRowHeight="15"/>
  <cols>
    <col width="12" customWidth="1" min="1" max="1"/>
    <col width="13" customWidth="1" min="2" max="2"/>
    <col width="9" customWidth="1" min="3" max="3"/>
    <col width="11" customWidth="1" min="4" max="4"/>
    <col width="11" customWidth="1" min="5" max="5"/>
    <col width="11" customWidth="1" min="6" max="6"/>
    <col width="11" customWidth="1" min="7" max="7"/>
    <col width="11" customWidth="1" min="8" max="8"/>
    <col width="11" customWidth="1" min="9" max="9"/>
    <col width="4" customWidth="1" min="10" max="10"/>
    <col width="34" customWidth="1" min="11" max="11"/>
    <col width="14" customWidth="1" min="12" max="12"/>
    <col width="11" customWidth="1" min="13" max="13"/>
    <col width="11" customWidth="1" min="14" max="14"/>
  </cols>
  <sheetData>
    <row r="1">
      <c r="A1" s="1" t="inlineStr">
        <is>
          <t>Paste your own daily conversions here</t>
        </is>
      </c>
    </row>
    <row r="2">
      <c r="A2" s="2" t="inlineStr">
        <is>
          <t>One row per day, one campaign or one account at a time, no gaps. A date in column A and that day's conversions in column B. Everything to the right recomputes itself.</t>
        </is>
      </c>
    </row>
    <row r="3">
      <c r="K3" s="1" t="inlineStr">
        <is>
          <t>Your forecast's ingredients</t>
        </is>
      </c>
    </row>
    <row r="4">
      <c r="A4" s="3" t="inlineStr">
        <is>
          <t>Date</t>
        </is>
      </c>
      <c r="B4" s="3" t="inlineStr">
        <is>
          <t>Conversions</t>
        </is>
      </c>
      <c r="C4" s="3" t="inlineStr">
        <is>
          <t>Weekday</t>
        </is>
      </c>
      <c r="D4" s="3" t="inlineStr">
        <is>
          <t>Day</t>
        </is>
      </c>
      <c r="E4" s="3" t="inlineStr">
        <is>
          <t>log</t>
        </is>
      </c>
      <c r="F4" s="3" t="inlineStr">
        <is>
          <t>Trend</t>
        </is>
      </c>
      <c r="G4" s="3" t="inlineStr">
        <is>
          <t>Detrended</t>
        </is>
      </c>
      <c r="H4" s="3" t="inlineStr">
        <is>
          <t>Fitted</t>
        </is>
      </c>
      <c r="I4" s="3" t="inlineStr">
        <is>
          <t>Leftover</t>
        </is>
      </c>
      <c r="K4" s="3" t="inlineStr">
        <is>
          <t>Step</t>
        </is>
      </c>
      <c r="L4" s="3" t="inlineStr">
        <is>
          <t>Value</t>
        </is>
      </c>
    </row>
    <row r="5">
      <c r="A5" s="5" t="n"/>
      <c r="B5" s="7" t="n"/>
      <c r="C5">
        <f>IF(A5="","",WEEKDAY(A5,2))</f>
        <v/>
      </c>
      <c r="D5">
        <f>IF(A5="","",A5-MIN($A$5:$A$400)+1)</f>
        <v/>
      </c>
      <c r="E5" s="16">
        <f>IF(OR(A5="",B5&lt;=0),"",LN(B5))</f>
        <v/>
      </c>
      <c r="F5" s="16">
        <f>IF(E5="","",$L$6+$L$5*D5)</f>
        <v/>
      </c>
      <c r="G5" s="16">
        <f>IF(E5="","",E5-F5)</f>
        <v/>
      </c>
      <c r="H5" s="16">
        <f>IF(E5="","",F5+INDEX($L$9:$L$15,C5))</f>
        <v/>
      </c>
      <c r="I5" s="16">
        <f>IF(E5="","",E5-H5)</f>
        <v/>
      </c>
      <c r="K5" s="5" t="inlineStr">
        <is>
          <t>Trend slope per day (log)</t>
        </is>
      </c>
      <c r="L5" s="9">
        <f>IF(L19&lt;2,"",SLOPE($E$5:$E$400,$D$5:$D$400))</f>
        <v/>
      </c>
    </row>
    <row r="6">
      <c r="A6" s="5" t="n"/>
      <c r="B6" s="7" t="n"/>
      <c r="C6">
        <f>IF(A6="","",WEEKDAY(A6,2))</f>
        <v/>
      </c>
      <c r="D6">
        <f>IF(A6="","",A6-MIN($A$5:$A$400)+1)</f>
        <v/>
      </c>
      <c r="E6" s="16">
        <f>IF(OR(A6="",B6&lt;=0),"",LN(B6))</f>
        <v/>
      </c>
      <c r="F6" s="16">
        <f>IF(E6="","",$L$6+$L$5*D6)</f>
        <v/>
      </c>
      <c r="G6" s="16">
        <f>IF(E6="","",E6-F6)</f>
        <v/>
      </c>
      <c r="H6" s="16">
        <f>IF(E6="","",F6+INDEX($L$9:$L$15,C6))</f>
        <v/>
      </c>
      <c r="I6" s="16">
        <f>IF(E6="","",E6-H6)</f>
        <v/>
      </c>
      <c r="K6" s="5" t="inlineStr">
        <is>
          <t>Trend at day zero (log)</t>
        </is>
      </c>
      <c r="L6" s="8">
        <f>IF(L19&lt;2,"",INTERCEPT($E$5:$E$400,$D$5:$D$400))</f>
        <v/>
      </c>
    </row>
    <row r="7">
      <c r="A7" s="5" t="n"/>
      <c r="B7" s="7" t="n"/>
      <c r="C7">
        <f>IF(A7="","",WEEKDAY(A7,2))</f>
        <v/>
      </c>
      <c r="D7">
        <f>IF(A7="","",A7-MIN($A$5:$A$400)+1)</f>
        <v/>
      </c>
      <c r="E7" s="16">
        <f>IF(OR(A7="",B7&lt;=0),"",LN(B7))</f>
        <v/>
      </c>
      <c r="F7" s="16">
        <f>IF(E7="","",$L$6+$L$5*D7)</f>
        <v/>
      </c>
      <c r="G7" s="16">
        <f>IF(E7="","",E7-F7)</f>
        <v/>
      </c>
      <c r="H7" s="16">
        <f>IF(E7="","",F7+INDEX($L$9:$L$15,C7))</f>
        <v/>
      </c>
      <c r="I7" s="16">
        <f>IF(E7="","",E7-H7)</f>
        <v/>
      </c>
      <c r="K7" s="5" t="inlineStr">
        <is>
          <t>Growth this implies per quarter</t>
        </is>
      </c>
      <c r="L7" s="10">
        <f>IF(L5="","",EXP(L5*90)-1)</f>
        <v/>
      </c>
    </row>
    <row r="8">
      <c r="A8" s="5" t="n"/>
      <c r="B8" s="7" t="n"/>
      <c r="C8">
        <f>IF(A8="","",WEEKDAY(A8,2))</f>
        <v/>
      </c>
      <c r="D8">
        <f>IF(A8="","",A8-MIN($A$5:$A$400)+1)</f>
        <v/>
      </c>
      <c r="E8" s="16">
        <f>IF(OR(A8="",B8&lt;=0),"",LN(B8))</f>
        <v/>
      </c>
      <c r="F8" s="16">
        <f>IF(E8="","",$L$6+$L$5*D8)</f>
        <v/>
      </c>
      <c r="G8" s="16">
        <f>IF(E8="","",E8-F8)</f>
        <v/>
      </c>
      <c r="H8" s="16">
        <f>IF(E8="","",F8+INDEX($L$9:$L$15,C8))</f>
        <v/>
      </c>
      <c r="I8" s="16">
        <f>IF(E8="","",E8-H8)</f>
        <v/>
      </c>
      <c r="K8" s="3" t="inlineStr">
        <is>
          <t>Weekday adjustment (log), Monday first</t>
        </is>
      </c>
    </row>
    <row r="9">
      <c r="A9" s="5" t="n"/>
      <c r="B9" s="7" t="n"/>
      <c r="C9">
        <f>IF(A9="","",WEEKDAY(A9,2))</f>
        <v/>
      </c>
      <c r="D9">
        <f>IF(A9="","",A9-MIN($A$5:$A$400)+1)</f>
        <v/>
      </c>
      <c r="E9" s="16">
        <f>IF(OR(A9="",B9&lt;=0),"",LN(B9))</f>
        <v/>
      </c>
      <c r="F9" s="16">
        <f>IF(E9="","",$L$6+$L$5*D9)</f>
        <v/>
      </c>
      <c r="G9" s="16">
        <f>IF(E9="","",E9-F9)</f>
        <v/>
      </c>
      <c r="H9" s="16">
        <f>IF(E9="","",F9+INDEX($L$9:$L$15,C9))</f>
        <v/>
      </c>
      <c r="I9" s="16">
        <f>IF(E9="","",E9-H9)</f>
        <v/>
      </c>
      <c r="K9" s="5" t="inlineStr">
        <is>
          <t>Monday</t>
        </is>
      </c>
      <c r="L9" s="8">
        <f>IF(COUNTIF($C$5:$C$400,1)=0,0,AVERAGEIF($C$5:$C$400,1,$G$5:$G$400))</f>
        <v/>
      </c>
    </row>
    <row r="10">
      <c r="A10" s="5" t="n"/>
      <c r="B10" s="7" t="n"/>
      <c r="C10">
        <f>IF(A10="","",WEEKDAY(A10,2))</f>
        <v/>
      </c>
      <c r="D10">
        <f>IF(A10="","",A10-MIN($A$5:$A$400)+1)</f>
        <v/>
      </c>
      <c r="E10" s="16">
        <f>IF(OR(A10="",B10&lt;=0),"",LN(B10))</f>
        <v/>
      </c>
      <c r="F10" s="16">
        <f>IF(E10="","",$L$6+$L$5*D10)</f>
        <v/>
      </c>
      <c r="G10" s="16">
        <f>IF(E10="","",E10-F10)</f>
        <v/>
      </c>
      <c r="H10" s="16">
        <f>IF(E10="","",F10+INDEX($L$9:$L$15,C10))</f>
        <v/>
      </c>
      <c r="I10" s="16">
        <f>IF(E10="","",E10-H10)</f>
        <v/>
      </c>
      <c r="K10" s="5" t="inlineStr">
        <is>
          <t>Tuesday</t>
        </is>
      </c>
      <c r="L10" s="8">
        <f>IF(COUNTIF($C$5:$C$400,2)=0,0,AVERAGEIF($C$5:$C$400,2,$G$5:$G$400))</f>
        <v/>
      </c>
    </row>
    <row r="11">
      <c r="A11" s="5" t="n"/>
      <c r="B11" s="7" t="n"/>
      <c r="C11">
        <f>IF(A11="","",WEEKDAY(A11,2))</f>
        <v/>
      </c>
      <c r="D11">
        <f>IF(A11="","",A11-MIN($A$5:$A$400)+1)</f>
        <v/>
      </c>
      <c r="E11" s="16">
        <f>IF(OR(A11="",B11&lt;=0),"",LN(B11))</f>
        <v/>
      </c>
      <c r="F11" s="16">
        <f>IF(E11="","",$L$6+$L$5*D11)</f>
        <v/>
      </c>
      <c r="G11" s="16">
        <f>IF(E11="","",E11-F11)</f>
        <v/>
      </c>
      <c r="H11" s="16">
        <f>IF(E11="","",F11+INDEX($L$9:$L$15,C11))</f>
        <v/>
      </c>
      <c r="I11" s="16">
        <f>IF(E11="","",E11-H11)</f>
        <v/>
      </c>
      <c r="K11" s="5" t="inlineStr">
        <is>
          <t>Wednesday</t>
        </is>
      </c>
      <c r="L11" s="8">
        <f>IF(COUNTIF($C$5:$C$400,3)=0,0,AVERAGEIF($C$5:$C$400,3,$G$5:$G$400))</f>
        <v/>
      </c>
    </row>
    <row r="12">
      <c r="A12" s="5" t="n"/>
      <c r="B12" s="7" t="n"/>
      <c r="C12">
        <f>IF(A12="","",WEEKDAY(A12,2))</f>
        <v/>
      </c>
      <c r="D12">
        <f>IF(A12="","",A12-MIN($A$5:$A$400)+1)</f>
        <v/>
      </c>
      <c r="E12" s="16">
        <f>IF(OR(A12="",B12&lt;=0),"",LN(B12))</f>
        <v/>
      </c>
      <c r="F12" s="16">
        <f>IF(E12="","",$L$6+$L$5*D12)</f>
        <v/>
      </c>
      <c r="G12" s="16">
        <f>IF(E12="","",E12-F12)</f>
        <v/>
      </c>
      <c r="H12" s="16">
        <f>IF(E12="","",F12+INDEX($L$9:$L$15,C12))</f>
        <v/>
      </c>
      <c r="I12" s="16">
        <f>IF(E12="","",E12-H12)</f>
        <v/>
      </c>
      <c r="K12" s="5" t="inlineStr">
        <is>
          <t>Thursday</t>
        </is>
      </c>
      <c r="L12" s="8">
        <f>IF(COUNTIF($C$5:$C$400,4)=0,0,AVERAGEIF($C$5:$C$400,4,$G$5:$G$400))</f>
        <v/>
      </c>
    </row>
    <row r="13">
      <c r="A13" s="5" t="n"/>
      <c r="B13" s="7" t="n"/>
      <c r="C13">
        <f>IF(A13="","",WEEKDAY(A13,2))</f>
        <v/>
      </c>
      <c r="D13">
        <f>IF(A13="","",A13-MIN($A$5:$A$400)+1)</f>
        <v/>
      </c>
      <c r="E13" s="16">
        <f>IF(OR(A13="",B13&lt;=0),"",LN(B13))</f>
        <v/>
      </c>
      <c r="F13" s="16">
        <f>IF(E13="","",$L$6+$L$5*D13)</f>
        <v/>
      </c>
      <c r="G13" s="16">
        <f>IF(E13="","",E13-F13)</f>
        <v/>
      </c>
      <c r="H13" s="16">
        <f>IF(E13="","",F13+INDEX($L$9:$L$15,C13))</f>
        <v/>
      </c>
      <c r="I13" s="16">
        <f>IF(E13="","",E13-H13)</f>
        <v/>
      </c>
      <c r="K13" s="5" t="inlineStr">
        <is>
          <t>Friday</t>
        </is>
      </c>
      <c r="L13" s="8">
        <f>IF(COUNTIF($C$5:$C$400,5)=0,0,AVERAGEIF($C$5:$C$400,5,$G$5:$G$400))</f>
        <v/>
      </c>
    </row>
    <row r="14">
      <c r="A14" s="5" t="n"/>
      <c r="B14" s="7" t="n"/>
      <c r="C14">
        <f>IF(A14="","",WEEKDAY(A14,2))</f>
        <v/>
      </c>
      <c r="D14">
        <f>IF(A14="","",A14-MIN($A$5:$A$400)+1)</f>
        <v/>
      </c>
      <c r="E14" s="16">
        <f>IF(OR(A14="",B14&lt;=0),"",LN(B14))</f>
        <v/>
      </c>
      <c r="F14" s="16">
        <f>IF(E14="","",$L$6+$L$5*D14)</f>
        <v/>
      </c>
      <c r="G14" s="16">
        <f>IF(E14="","",E14-F14)</f>
        <v/>
      </c>
      <c r="H14" s="16">
        <f>IF(E14="","",F14+INDEX($L$9:$L$15,C14))</f>
        <v/>
      </c>
      <c r="I14" s="16">
        <f>IF(E14="","",E14-H14)</f>
        <v/>
      </c>
      <c r="K14" s="5" t="inlineStr">
        <is>
          <t>Saturday</t>
        </is>
      </c>
      <c r="L14" s="8">
        <f>IF(COUNTIF($C$5:$C$400,6)=0,0,AVERAGEIF($C$5:$C$400,6,$G$5:$G$400))</f>
        <v/>
      </c>
    </row>
    <row r="15">
      <c r="A15" s="5" t="n"/>
      <c r="B15" s="7" t="n"/>
      <c r="C15">
        <f>IF(A15="","",WEEKDAY(A15,2))</f>
        <v/>
      </c>
      <c r="D15">
        <f>IF(A15="","",A15-MIN($A$5:$A$400)+1)</f>
        <v/>
      </c>
      <c r="E15" s="16">
        <f>IF(OR(A15="",B15&lt;=0),"",LN(B15))</f>
        <v/>
      </c>
      <c r="F15" s="16">
        <f>IF(E15="","",$L$6+$L$5*D15)</f>
        <v/>
      </c>
      <c r="G15" s="16">
        <f>IF(E15="","",E15-F15)</f>
        <v/>
      </c>
      <c r="H15" s="16">
        <f>IF(E15="","",F15+INDEX($L$9:$L$15,C15))</f>
        <v/>
      </c>
      <c r="I15" s="16">
        <f>IF(E15="","",E15-H15)</f>
        <v/>
      </c>
      <c r="K15" s="5" t="inlineStr">
        <is>
          <t>Sunday</t>
        </is>
      </c>
      <c r="L15" s="8">
        <f>IF(COUNTIF($C$5:$C$400,7)=0,0,AVERAGEIF($C$5:$C$400,7,$G$5:$G$400))</f>
        <v/>
      </c>
    </row>
    <row r="16">
      <c r="A16" s="5" t="n"/>
      <c r="B16" s="7" t="n"/>
      <c r="C16">
        <f>IF(A16="","",WEEKDAY(A16,2))</f>
        <v/>
      </c>
      <c r="D16">
        <f>IF(A16="","",A16-MIN($A$5:$A$400)+1)</f>
        <v/>
      </c>
      <c r="E16" s="16">
        <f>IF(OR(A16="",B16&lt;=0),"",LN(B16))</f>
        <v/>
      </c>
      <c r="F16" s="16">
        <f>IF(E16="","",$L$6+$L$5*D16)</f>
        <v/>
      </c>
      <c r="G16" s="16">
        <f>IF(E16="","",E16-F16)</f>
        <v/>
      </c>
      <c r="H16" s="16">
        <f>IF(E16="","",F16+INDEX($L$9:$L$15,C16))</f>
        <v/>
      </c>
      <c r="I16" s="16">
        <f>IF(E16="","",E16-H16)</f>
        <v/>
      </c>
    </row>
    <row r="17">
      <c r="A17" s="5" t="n"/>
      <c r="B17" s="7" t="n"/>
      <c r="C17">
        <f>IF(A17="","",WEEKDAY(A17,2))</f>
        <v/>
      </c>
      <c r="D17">
        <f>IF(A17="","",A17-MIN($A$5:$A$400)+1)</f>
        <v/>
      </c>
      <c r="E17" s="16">
        <f>IF(OR(A17="",B17&lt;=0),"",LN(B17))</f>
        <v/>
      </c>
      <c r="F17" s="16">
        <f>IF(E17="","",$L$6+$L$5*D17)</f>
        <v/>
      </c>
      <c r="G17" s="16">
        <f>IF(E17="","",E17-F17)</f>
        <v/>
      </c>
      <c r="H17" s="16">
        <f>IF(E17="","",F17+INDEX($L$9:$L$15,C17))</f>
        <v/>
      </c>
      <c r="I17" s="16">
        <f>IF(E17="","",E17-H17)</f>
        <v/>
      </c>
      <c r="K17" s="5" t="inlineStr">
        <is>
          <t>Spread of what is left (log)</t>
        </is>
      </c>
      <c r="L17" s="11">
        <f>IF(L19&lt;2,"",_xlfn.STDEV.P($I$5:$I$400))</f>
        <v/>
      </c>
    </row>
    <row r="18">
      <c r="A18" s="5" t="n"/>
      <c r="B18" s="7" t="n"/>
      <c r="C18">
        <f>IF(A18="","",WEEKDAY(A18,2))</f>
        <v/>
      </c>
      <c r="D18">
        <f>IF(A18="","",A18-MIN($A$5:$A$400)+1)</f>
        <v/>
      </c>
      <c r="E18" s="16">
        <f>IF(OR(A18="",B18&lt;=0),"",LN(B18))</f>
        <v/>
      </c>
      <c r="F18" s="16">
        <f>IF(E18="","",$L$6+$L$5*D18)</f>
        <v/>
      </c>
      <c r="G18" s="16">
        <f>IF(E18="","",E18-F18)</f>
        <v/>
      </c>
      <c r="H18" s="16">
        <f>IF(E18="","",F18+INDEX($L$9:$L$15,C18))</f>
        <v/>
      </c>
      <c r="I18" s="16">
        <f>IF(E18="","",E18-H18)</f>
        <v/>
      </c>
      <c r="K18" s="5" t="inlineStr">
        <is>
          <t>Band multiplier (90%)</t>
        </is>
      </c>
      <c r="L18" s="12" t="n">
        <v>1.645</v>
      </c>
    </row>
    <row r="19">
      <c r="A19" s="5" t="n"/>
      <c r="B19" s="7" t="n"/>
      <c r="C19">
        <f>IF(A19="","",WEEKDAY(A19,2))</f>
        <v/>
      </c>
      <c r="D19">
        <f>IF(A19="","",A19-MIN($A$5:$A$400)+1)</f>
        <v/>
      </c>
      <c r="E19" s="16">
        <f>IF(OR(A19="",B19&lt;=0),"",LN(B19))</f>
        <v/>
      </c>
      <c r="F19" s="16">
        <f>IF(E19="","",$L$6+$L$5*D19)</f>
        <v/>
      </c>
      <c r="G19" s="16">
        <f>IF(E19="","",E19-F19)</f>
        <v/>
      </c>
      <c r="H19" s="16">
        <f>IF(E19="","",F19+INDEX($L$9:$L$15,C19))</f>
        <v/>
      </c>
      <c r="I19" s="16">
        <f>IF(E19="","",E19-H19)</f>
        <v/>
      </c>
      <c r="K19" s="5" t="inlineStr">
        <is>
          <t>Days pasted</t>
        </is>
      </c>
      <c r="L19" s="5">
        <f>COUNT($B$5:$B$400)</f>
        <v/>
      </c>
    </row>
    <row r="20">
      <c r="A20" s="5" t="n"/>
      <c r="B20" s="7" t="n"/>
      <c r="C20">
        <f>IF(A20="","",WEEKDAY(A20,2))</f>
        <v/>
      </c>
      <c r="D20">
        <f>IF(A20="","",A20-MIN($A$5:$A$400)+1)</f>
        <v/>
      </c>
      <c r="E20" s="16">
        <f>IF(OR(A20="",B20&lt;=0),"",LN(B20))</f>
        <v/>
      </c>
      <c r="F20" s="16">
        <f>IF(E20="","",$L$6+$L$5*D20)</f>
        <v/>
      </c>
      <c r="G20" s="16">
        <f>IF(E20="","",E20-F20)</f>
        <v/>
      </c>
      <c r="H20" s="16">
        <f>IF(E20="","",F20+INDEX($L$9:$L$15,C20))</f>
        <v/>
      </c>
      <c r="I20" s="16">
        <f>IF(E20="","",E20-H20)</f>
        <v/>
      </c>
      <c r="K20" s="5" t="inlineStr">
        <is>
          <t>Days at or below zero</t>
        </is>
      </c>
      <c r="L20" s="5">
        <f>COUNTIF($B$5:$B$400,"&lt;=0")</f>
        <v/>
      </c>
    </row>
    <row r="21">
      <c r="A21" s="5" t="n"/>
      <c r="B21" s="7" t="n"/>
      <c r="C21">
        <f>IF(A21="","",WEEKDAY(A21,2))</f>
        <v/>
      </c>
      <c r="D21">
        <f>IF(A21="","",A21-MIN($A$5:$A$400)+1)</f>
        <v/>
      </c>
      <c r="E21" s="16">
        <f>IF(OR(A21="",B21&lt;=0),"",LN(B21))</f>
        <v/>
      </c>
      <c r="F21" s="16">
        <f>IF(E21="","",$L$6+$L$5*D21)</f>
        <v/>
      </c>
      <c r="G21" s="16">
        <f>IF(E21="","",E21-F21)</f>
        <v/>
      </c>
      <c r="H21" s="16">
        <f>IF(E21="","",F21+INDEX($L$9:$L$15,C21))</f>
        <v/>
      </c>
      <c r="I21" s="16">
        <f>IF(E21="","",E21-H21)</f>
        <v/>
      </c>
      <c r="K21" s="5" t="inlineStr">
        <is>
          <t>Days the dates span</t>
        </is>
      </c>
      <c r="L21" s="5">
        <f>IF(L19=0,0,MAX($A$5:$A$400)-MIN($A$5:$A$400)+1)</f>
        <v/>
      </c>
    </row>
    <row r="22">
      <c r="A22" s="5" t="n"/>
      <c r="B22" s="7" t="n"/>
      <c r="C22">
        <f>IF(A22="","",WEEKDAY(A22,2))</f>
        <v/>
      </c>
      <c r="D22">
        <f>IF(A22="","",A22-MIN($A$5:$A$400)+1)</f>
        <v/>
      </c>
      <c r="E22" s="16">
        <f>IF(OR(A22="",B22&lt;=0),"",LN(B22))</f>
        <v/>
      </c>
      <c r="F22" s="16">
        <f>IF(E22="","",$L$6+$L$5*D22)</f>
        <v/>
      </c>
      <c r="G22" s="16">
        <f>IF(E22="","",E22-F22)</f>
        <v/>
      </c>
      <c r="H22" s="16">
        <f>IF(E22="","",F22+INDEX($L$9:$L$15,C22))</f>
        <v/>
      </c>
      <c r="I22" s="16">
        <f>IF(E22="","",E22-H22)</f>
        <v/>
      </c>
      <c r="K22" s="3" t="inlineStr">
        <is>
          <t>Can you trust it yet?</t>
        </is>
      </c>
    </row>
    <row r="23">
      <c r="A23" s="5" t="n"/>
      <c r="B23" s="7" t="n"/>
      <c r="C23">
        <f>IF(A23="","",WEEKDAY(A23,2))</f>
        <v/>
      </c>
      <c r="D23">
        <f>IF(A23="","",A23-MIN($A$5:$A$400)+1)</f>
        <v/>
      </c>
      <c r="E23" s="16">
        <f>IF(OR(A23="",B23&lt;=0),"",LN(B23))</f>
        <v/>
      </c>
      <c r="F23" s="16">
        <f>IF(E23="","",$L$6+$L$5*D23)</f>
        <v/>
      </c>
      <c r="G23" s="16">
        <f>IF(E23="","",E23-F23)</f>
        <v/>
      </c>
      <c r="H23" s="16">
        <f>IF(E23="","",F23+INDEX($L$9:$L$15,C23))</f>
        <v/>
      </c>
      <c r="I23" s="16">
        <f>IF(E23="","",E23-H23)</f>
        <v/>
      </c>
      <c r="K23" s="17">
        <f>IF(L19=0,"Paste some rows above to begin.",IF(L21&lt;&gt;L19,"CHECK THE DATES: the dates span "&amp;L21&amp;" days but "&amp;L19&amp;" rows were pasted: a day is missing or repeated. One row per day, no gaps; add campaigns up per day first.",IF(L20&gt;0,"NOT WITH THIS METRIC: a day at or below zero has no logarithm. Forecast a bigger number: weekly totals, clicks, or several campaigns added up.",IF(L19&lt;14,"NOT YET: fewer than 14 days. Two full weeks is the least a weekly rhythm can be read from.",IF(L19&lt;56,"A ROUGH GUIDE: under eight weeks. The trend from a history this short is a guess, and the range claims more than it delivers.","USABLE. Remember what this sheet leaves out: no bends in the trend, no carry of yesterday, no growth of the range with the horizon, and no range for the month total.")))))</f>
        <v/>
      </c>
    </row>
    <row r="24">
      <c r="A24" s="5" t="n"/>
      <c r="B24" s="7" t="n"/>
      <c r="C24">
        <f>IF(A24="","",WEEKDAY(A24,2))</f>
        <v/>
      </c>
      <c r="D24">
        <f>IF(A24="","",A24-MIN($A$5:$A$400)+1)</f>
        <v/>
      </c>
      <c r="E24" s="16">
        <f>IF(OR(A24="",B24&lt;=0),"",LN(B24))</f>
        <v/>
      </c>
      <c r="F24" s="16">
        <f>IF(E24="","",$L$6+$L$5*D24)</f>
        <v/>
      </c>
      <c r="G24" s="16">
        <f>IF(E24="","",E24-F24)</f>
        <v/>
      </c>
      <c r="H24" s="16">
        <f>IF(E24="","",F24+INDEX($L$9:$L$15,C24))</f>
        <v/>
      </c>
      <c r="I24" s="16">
        <f>IF(E24="","",E24-H24)</f>
        <v/>
      </c>
    </row>
    <row r="25">
      <c r="A25" s="5" t="n"/>
      <c r="B25" s="7" t="n"/>
      <c r="C25">
        <f>IF(A25="","",WEEKDAY(A25,2))</f>
        <v/>
      </c>
      <c r="D25">
        <f>IF(A25="","",A25-MIN($A$5:$A$400)+1)</f>
        <v/>
      </c>
      <c r="E25" s="16">
        <f>IF(OR(A25="",B25&lt;=0),"",LN(B25))</f>
        <v/>
      </c>
      <c r="F25" s="16">
        <f>IF(E25="","",$L$6+$L$5*D25)</f>
        <v/>
      </c>
      <c r="G25" s="16">
        <f>IF(E25="","",E25-F25)</f>
        <v/>
      </c>
      <c r="H25" s="16">
        <f>IF(E25="","",F25+INDEX($L$9:$L$15,C25))</f>
        <v/>
      </c>
      <c r="I25" s="16">
        <f>IF(E25="","",E25-H25)</f>
        <v/>
      </c>
    </row>
    <row r="26">
      <c r="A26" s="5" t="n"/>
      <c r="B26" s="7" t="n"/>
      <c r="C26">
        <f>IF(A26="","",WEEKDAY(A26,2))</f>
        <v/>
      </c>
      <c r="D26">
        <f>IF(A26="","",A26-MIN($A$5:$A$400)+1)</f>
        <v/>
      </c>
      <c r="E26" s="16">
        <f>IF(OR(A26="",B26&lt;=0),"",LN(B26))</f>
        <v/>
      </c>
      <c r="F26" s="16">
        <f>IF(E26="","",$L$6+$L$5*D26)</f>
        <v/>
      </c>
      <c r="G26" s="16">
        <f>IF(E26="","",E26-F26)</f>
        <v/>
      </c>
      <c r="H26" s="16">
        <f>IF(E26="","",F26+INDEX($L$9:$L$15,C26))</f>
        <v/>
      </c>
      <c r="I26" s="16">
        <f>IF(E26="","",E26-H26)</f>
        <v/>
      </c>
    </row>
    <row r="27">
      <c r="A27" s="5" t="n"/>
      <c r="B27" s="7" t="n"/>
      <c r="C27">
        <f>IF(A27="","",WEEKDAY(A27,2))</f>
        <v/>
      </c>
      <c r="D27">
        <f>IF(A27="","",A27-MIN($A$5:$A$400)+1)</f>
        <v/>
      </c>
      <c r="E27" s="16">
        <f>IF(OR(A27="",B27&lt;=0),"",LN(B27))</f>
        <v/>
      </c>
      <c r="F27" s="16">
        <f>IF(E27="","",$L$6+$L$5*D27)</f>
        <v/>
      </c>
      <c r="G27" s="16">
        <f>IF(E27="","",E27-F27)</f>
        <v/>
      </c>
      <c r="H27" s="16">
        <f>IF(E27="","",F27+INDEX($L$9:$L$15,C27))</f>
        <v/>
      </c>
      <c r="I27" s="16">
        <f>IF(E27="","",E27-H27)</f>
        <v/>
      </c>
    </row>
    <row r="28">
      <c r="A28" s="5" t="n"/>
      <c r="B28" s="7" t="n"/>
      <c r="C28">
        <f>IF(A28="","",WEEKDAY(A28,2))</f>
        <v/>
      </c>
      <c r="D28">
        <f>IF(A28="","",A28-MIN($A$5:$A$400)+1)</f>
        <v/>
      </c>
      <c r="E28" s="16">
        <f>IF(OR(A28="",B28&lt;=0),"",LN(B28))</f>
        <v/>
      </c>
      <c r="F28" s="16">
        <f>IF(E28="","",$L$6+$L$5*D28)</f>
        <v/>
      </c>
      <c r="G28" s="16">
        <f>IF(E28="","",E28-F28)</f>
        <v/>
      </c>
      <c r="H28" s="16">
        <f>IF(E28="","",F28+INDEX($L$9:$L$15,C28))</f>
        <v/>
      </c>
      <c r="I28" s="16">
        <f>IF(E28="","",E28-H28)</f>
        <v/>
      </c>
      <c r="K28" s="1" t="inlineStr">
        <is>
          <t>Your next 30 days</t>
        </is>
      </c>
    </row>
    <row r="29">
      <c r="A29" s="5" t="n"/>
      <c r="B29" s="7" t="n"/>
      <c r="C29">
        <f>IF(A29="","",WEEKDAY(A29,2))</f>
        <v/>
      </c>
      <c r="D29">
        <f>IF(A29="","",A29-MIN($A$5:$A$400)+1)</f>
        <v/>
      </c>
      <c r="E29" s="16">
        <f>IF(OR(A29="",B29&lt;=0),"",LN(B29))</f>
        <v/>
      </c>
      <c r="F29" s="16">
        <f>IF(E29="","",$L$6+$L$5*D29)</f>
        <v/>
      </c>
      <c r="G29" s="16">
        <f>IF(E29="","",E29-F29)</f>
        <v/>
      </c>
      <c r="H29" s="16">
        <f>IF(E29="","",F29+INDEX($L$9:$L$15,C29))</f>
        <v/>
      </c>
      <c r="I29" s="16">
        <f>IF(E29="","",E29-H29)</f>
        <v/>
      </c>
      <c r="K29" s="3" t="inlineStr">
        <is>
          <t>Day ahead</t>
        </is>
      </c>
      <c r="L29" s="3" t="inlineStr">
        <is>
          <t>Forecast</t>
        </is>
      </c>
      <c r="M29" s="3" t="inlineStr">
        <is>
          <t>Low</t>
        </is>
      </c>
      <c r="N29" s="3" t="inlineStr">
        <is>
          <t>High</t>
        </is>
      </c>
    </row>
    <row r="30">
      <c r="A30" s="5" t="n"/>
      <c r="B30" s="7" t="n"/>
      <c r="C30">
        <f>IF(A30="","",WEEKDAY(A30,2))</f>
        <v/>
      </c>
      <c r="D30">
        <f>IF(A30="","",A30-MIN($A$5:$A$400)+1)</f>
        <v/>
      </c>
      <c r="E30" s="16">
        <f>IF(OR(A30="",B30&lt;=0),"",LN(B30))</f>
        <v/>
      </c>
      <c r="F30" s="16">
        <f>IF(E30="","",$L$6+$L$5*D30)</f>
        <v/>
      </c>
      <c r="G30" s="16">
        <f>IF(E30="","",E30-F30)</f>
        <v/>
      </c>
      <c r="H30" s="16">
        <f>IF(E30="","",F30+INDEX($L$9:$L$15,C30))</f>
        <v/>
      </c>
      <c r="I30" s="16">
        <f>IF(E30="","",E30-H30)</f>
        <v/>
      </c>
      <c r="K30" s="5" t="n">
        <v>1</v>
      </c>
      <c r="L30" s="13">
        <f>IF(OR($L$19&lt;14,$L$20&gt;0,$L$21&lt;&gt;$L$19,1&gt;INT($L$19/3)),"",EXP($L$6+$L$5*($L$21+1)+INDEX($L$9:$L$15,WEEKDAY(MAX($A$5:$A$400)+1,2))))</f>
        <v/>
      </c>
      <c r="M30" s="14">
        <f>IF(L30="","",EXP($L$6+$L$5*($L$21+1)+INDEX($L$9:$L$15,WEEKDAY(MAX($A$5:$A$400)+1,2))-$L$18*$L$17))</f>
        <v/>
      </c>
      <c r="N30" s="14">
        <f>IF(L30="","",EXP($L$6+$L$5*($L$21+1)+INDEX($L$9:$L$15,WEEKDAY(MAX($A$5:$A$400)+1,2))+$L$18*$L$17))</f>
        <v/>
      </c>
    </row>
    <row r="31">
      <c r="A31" s="5" t="n"/>
      <c r="B31" s="7" t="n"/>
      <c r="C31">
        <f>IF(A31="","",WEEKDAY(A31,2))</f>
        <v/>
      </c>
      <c r="D31">
        <f>IF(A31="","",A31-MIN($A$5:$A$400)+1)</f>
        <v/>
      </c>
      <c r="E31" s="16">
        <f>IF(OR(A31="",B31&lt;=0),"",LN(B31))</f>
        <v/>
      </c>
      <c r="F31" s="16">
        <f>IF(E31="","",$L$6+$L$5*D31)</f>
        <v/>
      </c>
      <c r="G31" s="16">
        <f>IF(E31="","",E31-F31)</f>
        <v/>
      </c>
      <c r="H31" s="16">
        <f>IF(E31="","",F31+INDEX($L$9:$L$15,C31))</f>
        <v/>
      </c>
      <c r="I31" s="16">
        <f>IF(E31="","",E31-H31)</f>
        <v/>
      </c>
      <c r="K31" s="5" t="n">
        <v>2</v>
      </c>
      <c r="L31" s="13">
        <f>IF(OR($L$19&lt;14,$L$20&gt;0,$L$21&lt;&gt;$L$19,2&gt;INT($L$19/3)),"",EXP($L$6+$L$5*($L$21+2)+INDEX($L$9:$L$15,WEEKDAY(MAX($A$5:$A$400)+2,2))))</f>
        <v/>
      </c>
      <c r="M31" s="14">
        <f>IF(L31="","",EXP($L$6+$L$5*($L$21+2)+INDEX($L$9:$L$15,WEEKDAY(MAX($A$5:$A$400)+2,2))-$L$18*$L$17))</f>
        <v/>
      </c>
      <c r="N31" s="14">
        <f>IF(L31="","",EXP($L$6+$L$5*($L$21+2)+INDEX($L$9:$L$15,WEEKDAY(MAX($A$5:$A$400)+2,2))+$L$18*$L$17))</f>
        <v/>
      </c>
    </row>
    <row r="32">
      <c r="A32" s="5" t="n"/>
      <c r="B32" s="7" t="n"/>
      <c r="C32">
        <f>IF(A32="","",WEEKDAY(A32,2))</f>
        <v/>
      </c>
      <c r="D32">
        <f>IF(A32="","",A32-MIN($A$5:$A$400)+1)</f>
        <v/>
      </c>
      <c r="E32" s="16">
        <f>IF(OR(A32="",B32&lt;=0),"",LN(B32))</f>
        <v/>
      </c>
      <c r="F32" s="16">
        <f>IF(E32="","",$L$6+$L$5*D32)</f>
        <v/>
      </c>
      <c r="G32" s="16">
        <f>IF(E32="","",E32-F32)</f>
        <v/>
      </c>
      <c r="H32" s="16">
        <f>IF(E32="","",F32+INDEX($L$9:$L$15,C32))</f>
        <v/>
      </c>
      <c r="I32" s="16">
        <f>IF(E32="","",E32-H32)</f>
        <v/>
      </c>
      <c r="K32" s="5" t="n">
        <v>3</v>
      </c>
      <c r="L32" s="13">
        <f>IF(OR($L$19&lt;14,$L$20&gt;0,$L$21&lt;&gt;$L$19,3&gt;INT($L$19/3)),"",EXP($L$6+$L$5*($L$21+3)+INDEX($L$9:$L$15,WEEKDAY(MAX($A$5:$A$400)+3,2))))</f>
        <v/>
      </c>
      <c r="M32" s="14">
        <f>IF(L32="","",EXP($L$6+$L$5*($L$21+3)+INDEX($L$9:$L$15,WEEKDAY(MAX($A$5:$A$400)+3,2))-$L$18*$L$17))</f>
        <v/>
      </c>
      <c r="N32" s="14">
        <f>IF(L32="","",EXP($L$6+$L$5*($L$21+3)+INDEX($L$9:$L$15,WEEKDAY(MAX($A$5:$A$400)+3,2))+$L$18*$L$17))</f>
        <v/>
      </c>
    </row>
    <row r="33">
      <c r="A33" s="5" t="n"/>
      <c r="B33" s="7" t="n"/>
      <c r="C33">
        <f>IF(A33="","",WEEKDAY(A33,2))</f>
        <v/>
      </c>
      <c r="D33">
        <f>IF(A33="","",A33-MIN($A$5:$A$400)+1)</f>
        <v/>
      </c>
      <c r="E33" s="16">
        <f>IF(OR(A33="",B33&lt;=0),"",LN(B33))</f>
        <v/>
      </c>
      <c r="F33" s="16">
        <f>IF(E33="","",$L$6+$L$5*D33)</f>
        <v/>
      </c>
      <c r="G33" s="16">
        <f>IF(E33="","",E33-F33)</f>
        <v/>
      </c>
      <c r="H33" s="16">
        <f>IF(E33="","",F33+INDEX($L$9:$L$15,C33))</f>
        <v/>
      </c>
      <c r="I33" s="16">
        <f>IF(E33="","",E33-H33)</f>
        <v/>
      </c>
      <c r="K33" s="5" t="n">
        <v>4</v>
      </c>
      <c r="L33" s="13">
        <f>IF(OR($L$19&lt;14,$L$20&gt;0,$L$21&lt;&gt;$L$19,4&gt;INT($L$19/3)),"",EXP($L$6+$L$5*($L$21+4)+INDEX($L$9:$L$15,WEEKDAY(MAX($A$5:$A$400)+4,2))))</f>
        <v/>
      </c>
      <c r="M33" s="14">
        <f>IF(L33="","",EXP($L$6+$L$5*($L$21+4)+INDEX($L$9:$L$15,WEEKDAY(MAX($A$5:$A$400)+4,2))-$L$18*$L$17))</f>
        <v/>
      </c>
      <c r="N33" s="14">
        <f>IF(L33="","",EXP($L$6+$L$5*($L$21+4)+INDEX($L$9:$L$15,WEEKDAY(MAX($A$5:$A$400)+4,2))+$L$18*$L$17))</f>
        <v/>
      </c>
    </row>
    <row r="34">
      <c r="A34" s="5" t="n"/>
      <c r="B34" s="7" t="n"/>
      <c r="C34">
        <f>IF(A34="","",WEEKDAY(A34,2))</f>
        <v/>
      </c>
      <c r="D34">
        <f>IF(A34="","",A34-MIN($A$5:$A$400)+1)</f>
        <v/>
      </c>
      <c r="E34" s="16">
        <f>IF(OR(A34="",B34&lt;=0),"",LN(B34))</f>
        <v/>
      </c>
      <c r="F34" s="16">
        <f>IF(E34="","",$L$6+$L$5*D34)</f>
        <v/>
      </c>
      <c r="G34" s="16">
        <f>IF(E34="","",E34-F34)</f>
        <v/>
      </c>
      <c r="H34" s="16">
        <f>IF(E34="","",F34+INDEX($L$9:$L$15,C34))</f>
        <v/>
      </c>
      <c r="I34" s="16">
        <f>IF(E34="","",E34-H34)</f>
        <v/>
      </c>
      <c r="K34" s="5" t="n">
        <v>5</v>
      </c>
      <c r="L34" s="13">
        <f>IF(OR($L$19&lt;14,$L$20&gt;0,$L$21&lt;&gt;$L$19,5&gt;INT($L$19/3)),"",EXP($L$6+$L$5*($L$21+5)+INDEX($L$9:$L$15,WEEKDAY(MAX($A$5:$A$400)+5,2))))</f>
        <v/>
      </c>
      <c r="M34" s="14">
        <f>IF(L34="","",EXP($L$6+$L$5*($L$21+5)+INDEX($L$9:$L$15,WEEKDAY(MAX($A$5:$A$400)+5,2))-$L$18*$L$17))</f>
        <v/>
      </c>
      <c r="N34" s="14">
        <f>IF(L34="","",EXP($L$6+$L$5*($L$21+5)+INDEX($L$9:$L$15,WEEKDAY(MAX($A$5:$A$400)+5,2))+$L$18*$L$17))</f>
        <v/>
      </c>
    </row>
    <row r="35">
      <c r="A35" s="5" t="n"/>
      <c r="B35" s="7" t="n"/>
      <c r="C35">
        <f>IF(A35="","",WEEKDAY(A35,2))</f>
        <v/>
      </c>
      <c r="D35">
        <f>IF(A35="","",A35-MIN($A$5:$A$400)+1)</f>
        <v/>
      </c>
      <c r="E35" s="16">
        <f>IF(OR(A35="",B35&lt;=0),"",LN(B35))</f>
        <v/>
      </c>
      <c r="F35" s="16">
        <f>IF(E35="","",$L$6+$L$5*D35)</f>
        <v/>
      </c>
      <c r="G35" s="16">
        <f>IF(E35="","",E35-F35)</f>
        <v/>
      </c>
      <c r="H35" s="16">
        <f>IF(E35="","",F35+INDEX($L$9:$L$15,C35))</f>
        <v/>
      </c>
      <c r="I35" s="16">
        <f>IF(E35="","",E35-H35)</f>
        <v/>
      </c>
      <c r="K35" s="5" t="n">
        <v>6</v>
      </c>
      <c r="L35" s="13">
        <f>IF(OR($L$19&lt;14,$L$20&gt;0,$L$21&lt;&gt;$L$19,6&gt;INT($L$19/3)),"",EXP($L$6+$L$5*($L$21+6)+INDEX($L$9:$L$15,WEEKDAY(MAX($A$5:$A$400)+6,2))))</f>
        <v/>
      </c>
      <c r="M35" s="14">
        <f>IF(L35="","",EXP($L$6+$L$5*($L$21+6)+INDEX($L$9:$L$15,WEEKDAY(MAX($A$5:$A$400)+6,2))-$L$18*$L$17))</f>
        <v/>
      </c>
      <c r="N35" s="14">
        <f>IF(L35="","",EXP($L$6+$L$5*($L$21+6)+INDEX($L$9:$L$15,WEEKDAY(MAX($A$5:$A$400)+6,2))+$L$18*$L$17))</f>
        <v/>
      </c>
    </row>
    <row r="36">
      <c r="A36" s="5" t="n"/>
      <c r="B36" s="7" t="n"/>
      <c r="C36">
        <f>IF(A36="","",WEEKDAY(A36,2))</f>
        <v/>
      </c>
      <c r="D36">
        <f>IF(A36="","",A36-MIN($A$5:$A$400)+1)</f>
        <v/>
      </c>
      <c r="E36" s="16">
        <f>IF(OR(A36="",B36&lt;=0),"",LN(B36))</f>
        <v/>
      </c>
      <c r="F36" s="16">
        <f>IF(E36="","",$L$6+$L$5*D36)</f>
        <v/>
      </c>
      <c r="G36" s="16">
        <f>IF(E36="","",E36-F36)</f>
        <v/>
      </c>
      <c r="H36" s="16">
        <f>IF(E36="","",F36+INDEX($L$9:$L$15,C36))</f>
        <v/>
      </c>
      <c r="I36" s="16">
        <f>IF(E36="","",E36-H36)</f>
        <v/>
      </c>
      <c r="K36" s="5" t="n">
        <v>7</v>
      </c>
      <c r="L36" s="13">
        <f>IF(OR($L$19&lt;14,$L$20&gt;0,$L$21&lt;&gt;$L$19,7&gt;INT($L$19/3)),"",EXP($L$6+$L$5*($L$21+7)+INDEX($L$9:$L$15,WEEKDAY(MAX($A$5:$A$400)+7,2))))</f>
        <v/>
      </c>
      <c r="M36" s="14">
        <f>IF(L36="","",EXP($L$6+$L$5*($L$21+7)+INDEX($L$9:$L$15,WEEKDAY(MAX($A$5:$A$400)+7,2))-$L$18*$L$17))</f>
        <v/>
      </c>
      <c r="N36" s="14">
        <f>IF(L36="","",EXP($L$6+$L$5*($L$21+7)+INDEX($L$9:$L$15,WEEKDAY(MAX($A$5:$A$400)+7,2))+$L$18*$L$17))</f>
        <v/>
      </c>
    </row>
    <row r="37">
      <c r="A37" s="5" t="n"/>
      <c r="B37" s="7" t="n"/>
      <c r="C37">
        <f>IF(A37="","",WEEKDAY(A37,2))</f>
        <v/>
      </c>
      <c r="D37">
        <f>IF(A37="","",A37-MIN($A$5:$A$400)+1)</f>
        <v/>
      </c>
      <c r="E37" s="16">
        <f>IF(OR(A37="",B37&lt;=0),"",LN(B37))</f>
        <v/>
      </c>
      <c r="F37" s="16">
        <f>IF(E37="","",$L$6+$L$5*D37)</f>
        <v/>
      </c>
      <c r="G37" s="16">
        <f>IF(E37="","",E37-F37)</f>
        <v/>
      </c>
      <c r="H37" s="16">
        <f>IF(E37="","",F37+INDEX($L$9:$L$15,C37))</f>
        <v/>
      </c>
      <c r="I37" s="16">
        <f>IF(E37="","",E37-H37)</f>
        <v/>
      </c>
      <c r="K37" s="5" t="n">
        <v>8</v>
      </c>
      <c r="L37" s="13">
        <f>IF(OR($L$19&lt;14,$L$20&gt;0,$L$21&lt;&gt;$L$19,8&gt;INT($L$19/3)),"",EXP($L$6+$L$5*($L$21+8)+INDEX($L$9:$L$15,WEEKDAY(MAX($A$5:$A$400)+8,2))))</f>
        <v/>
      </c>
      <c r="M37" s="14">
        <f>IF(L37="","",EXP($L$6+$L$5*($L$21+8)+INDEX($L$9:$L$15,WEEKDAY(MAX($A$5:$A$400)+8,2))-$L$18*$L$17))</f>
        <v/>
      </c>
      <c r="N37" s="14">
        <f>IF(L37="","",EXP($L$6+$L$5*($L$21+8)+INDEX($L$9:$L$15,WEEKDAY(MAX($A$5:$A$400)+8,2))+$L$18*$L$17))</f>
        <v/>
      </c>
    </row>
    <row r="38">
      <c r="A38" s="5" t="n"/>
      <c r="B38" s="7" t="n"/>
      <c r="C38">
        <f>IF(A38="","",WEEKDAY(A38,2))</f>
        <v/>
      </c>
      <c r="D38">
        <f>IF(A38="","",A38-MIN($A$5:$A$400)+1)</f>
        <v/>
      </c>
      <c r="E38" s="16">
        <f>IF(OR(A38="",B38&lt;=0),"",LN(B38))</f>
        <v/>
      </c>
      <c r="F38" s="16">
        <f>IF(E38="","",$L$6+$L$5*D38)</f>
        <v/>
      </c>
      <c r="G38" s="16">
        <f>IF(E38="","",E38-F38)</f>
        <v/>
      </c>
      <c r="H38" s="16">
        <f>IF(E38="","",F38+INDEX($L$9:$L$15,C38))</f>
        <v/>
      </c>
      <c r="I38" s="16">
        <f>IF(E38="","",E38-H38)</f>
        <v/>
      </c>
      <c r="K38" s="5" t="n">
        <v>9</v>
      </c>
      <c r="L38" s="13">
        <f>IF(OR($L$19&lt;14,$L$20&gt;0,$L$21&lt;&gt;$L$19,9&gt;INT($L$19/3)),"",EXP($L$6+$L$5*($L$21+9)+INDEX($L$9:$L$15,WEEKDAY(MAX($A$5:$A$400)+9,2))))</f>
        <v/>
      </c>
      <c r="M38" s="14">
        <f>IF(L38="","",EXP($L$6+$L$5*($L$21+9)+INDEX($L$9:$L$15,WEEKDAY(MAX($A$5:$A$400)+9,2))-$L$18*$L$17))</f>
        <v/>
      </c>
      <c r="N38" s="14">
        <f>IF(L38="","",EXP($L$6+$L$5*($L$21+9)+INDEX($L$9:$L$15,WEEKDAY(MAX($A$5:$A$400)+9,2))+$L$18*$L$17))</f>
        <v/>
      </c>
    </row>
    <row r="39">
      <c r="A39" s="5" t="n"/>
      <c r="B39" s="7" t="n"/>
      <c r="C39">
        <f>IF(A39="","",WEEKDAY(A39,2))</f>
        <v/>
      </c>
      <c r="D39">
        <f>IF(A39="","",A39-MIN($A$5:$A$400)+1)</f>
        <v/>
      </c>
      <c r="E39" s="16">
        <f>IF(OR(A39="",B39&lt;=0),"",LN(B39))</f>
        <v/>
      </c>
      <c r="F39" s="16">
        <f>IF(E39="","",$L$6+$L$5*D39)</f>
        <v/>
      </c>
      <c r="G39" s="16">
        <f>IF(E39="","",E39-F39)</f>
        <v/>
      </c>
      <c r="H39" s="16">
        <f>IF(E39="","",F39+INDEX($L$9:$L$15,C39))</f>
        <v/>
      </c>
      <c r="I39" s="16">
        <f>IF(E39="","",E39-H39)</f>
        <v/>
      </c>
      <c r="K39" s="5" t="n">
        <v>10</v>
      </c>
      <c r="L39" s="13">
        <f>IF(OR($L$19&lt;14,$L$20&gt;0,$L$21&lt;&gt;$L$19,10&gt;INT($L$19/3)),"",EXP($L$6+$L$5*($L$21+10)+INDEX($L$9:$L$15,WEEKDAY(MAX($A$5:$A$400)+10,2))))</f>
        <v/>
      </c>
      <c r="M39" s="14">
        <f>IF(L39="","",EXP($L$6+$L$5*($L$21+10)+INDEX($L$9:$L$15,WEEKDAY(MAX($A$5:$A$400)+10,2))-$L$18*$L$17))</f>
        <v/>
      </c>
      <c r="N39" s="14">
        <f>IF(L39="","",EXP($L$6+$L$5*($L$21+10)+INDEX($L$9:$L$15,WEEKDAY(MAX($A$5:$A$400)+10,2))+$L$18*$L$17))</f>
        <v/>
      </c>
    </row>
    <row r="40">
      <c r="A40" s="5" t="n"/>
      <c r="B40" s="7" t="n"/>
      <c r="C40">
        <f>IF(A40="","",WEEKDAY(A40,2))</f>
        <v/>
      </c>
      <c r="D40">
        <f>IF(A40="","",A40-MIN($A$5:$A$400)+1)</f>
        <v/>
      </c>
      <c r="E40" s="16">
        <f>IF(OR(A40="",B40&lt;=0),"",LN(B40))</f>
        <v/>
      </c>
      <c r="F40" s="16">
        <f>IF(E40="","",$L$6+$L$5*D40)</f>
        <v/>
      </c>
      <c r="G40" s="16">
        <f>IF(E40="","",E40-F40)</f>
        <v/>
      </c>
      <c r="H40" s="16">
        <f>IF(E40="","",F40+INDEX($L$9:$L$15,C40))</f>
        <v/>
      </c>
      <c r="I40" s="16">
        <f>IF(E40="","",E40-H40)</f>
        <v/>
      </c>
      <c r="K40" s="5" t="n">
        <v>11</v>
      </c>
      <c r="L40" s="13">
        <f>IF(OR($L$19&lt;14,$L$20&gt;0,$L$21&lt;&gt;$L$19,11&gt;INT($L$19/3)),"",EXP($L$6+$L$5*($L$21+11)+INDEX($L$9:$L$15,WEEKDAY(MAX($A$5:$A$400)+11,2))))</f>
        <v/>
      </c>
      <c r="M40" s="14">
        <f>IF(L40="","",EXP($L$6+$L$5*($L$21+11)+INDEX($L$9:$L$15,WEEKDAY(MAX($A$5:$A$400)+11,2))-$L$18*$L$17))</f>
        <v/>
      </c>
      <c r="N40" s="14">
        <f>IF(L40="","",EXP($L$6+$L$5*($L$21+11)+INDEX($L$9:$L$15,WEEKDAY(MAX($A$5:$A$400)+11,2))+$L$18*$L$17))</f>
        <v/>
      </c>
    </row>
    <row r="41">
      <c r="A41" s="5" t="n"/>
      <c r="B41" s="7" t="n"/>
      <c r="C41">
        <f>IF(A41="","",WEEKDAY(A41,2))</f>
        <v/>
      </c>
      <c r="D41">
        <f>IF(A41="","",A41-MIN($A$5:$A$400)+1)</f>
        <v/>
      </c>
      <c r="E41" s="16">
        <f>IF(OR(A41="",B41&lt;=0),"",LN(B41))</f>
        <v/>
      </c>
      <c r="F41" s="16">
        <f>IF(E41="","",$L$6+$L$5*D41)</f>
        <v/>
      </c>
      <c r="G41" s="16">
        <f>IF(E41="","",E41-F41)</f>
        <v/>
      </c>
      <c r="H41" s="16">
        <f>IF(E41="","",F41+INDEX($L$9:$L$15,C41))</f>
        <v/>
      </c>
      <c r="I41" s="16">
        <f>IF(E41="","",E41-H41)</f>
        <v/>
      </c>
      <c r="K41" s="5" t="n">
        <v>12</v>
      </c>
      <c r="L41" s="13">
        <f>IF(OR($L$19&lt;14,$L$20&gt;0,$L$21&lt;&gt;$L$19,12&gt;INT($L$19/3)),"",EXP($L$6+$L$5*($L$21+12)+INDEX($L$9:$L$15,WEEKDAY(MAX($A$5:$A$400)+12,2))))</f>
        <v/>
      </c>
      <c r="M41" s="14">
        <f>IF(L41="","",EXP($L$6+$L$5*($L$21+12)+INDEX($L$9:$L$15,WEEKDAY(MAX($A$5:$A$400)+12,2))-$L$18*$L$17))</f>
        <v/>
      </c>
      <c r="N41" s="14">
        <f>IF(L41="","",EXP($L$6+$L$5*($L$21+12)+INDEX($L$9:$L$15,WEEKDAY(MAX($A$5:$A$400)+12,2))+$L$18*$L$17))</f>
        <v/>
      </c>
    </row>
    <row r="42">
      <c r="A42" s="5" t="n"/>
      <c r="B42" s="7" t="n"/>
      <c r="C42">
        <f>IF(A42="","",WEEKDAY(A42,2))</f>
        <v/>
      </c>
      <c r="D42">
        <f>IF(A42="","",A42-MIN($A$5:$A$400)+1)</f>
        <v/>
      </c>
      <c r="E42" s="16">
        <f>IF(OR(A42="",B42&lt;=0),"",LN(B42))</f>
        <v/>
      </c>
      <c r="F42" s="16">
        <f>IF(E42="","",$L$6+$L$5*D42)</f>
        <v/>
      </c>
      <c r="G42" s="16">
        <f>IF(E42="","",E42-F42)</f>
        <v/>
      </c>
      <c r="H42" s="16">
        <f>IF(E42="","",F42+INDEX($L$9:$L$15,C42))</f>
        <v/>
      </c>
      <c r="I42" s="16">
        <f>IF(E42="","",E42-H42)</f>
        <v/>
      </c>
      <c r="K42" s="5" t="n">
        <v>13</v>
      </c>
      <c r="L42" s="13">
        <f>IF(OR($L$19&lt;14,$L$20&gt;0,$L$21&lt;&gt;$L$19,13&gt;INT($L$19/3)),"",EXP($L$6+$L$5*($L$21+13)+INDEX($L$9:$L$15,WEEKDAY(MAX($A$5:$A$400)+13,2))))</f>
        <v/>
      </c>
      <c r="M42" s="14">
        <f>IF(L42="","",EXP($L$6+$L$5*($L$21+13)+INDEX($L$9:$L$15,WEEKDAY(MAX($A$5:$A$400)+13,2))-$L$18*$L$17))</f>
        <v/>
      </c>
      <c r="N42" s="14">
        <f>IF(L42="","",EXP($L$6+$L$5*($L$21+13)+INDEX($L$9:$L$15,WEEKDAY(MAX($A$5:$A$400)+13,2))+$L$18*$L$17))</f>
        <v/>
      </c>
    </row>
    <row r="43">
      <c r="A43" s="5" t="n"/>
      <c r="B43" s="7" t="n"/>
      <c r="C43">
        <f>IF(A43="","",WEEKDAY(A43,2))</f>
        <v/>
      </c>
      <c r="D43">
        <f>IF(A43="","",A43-MIN($A$5:$A$400)+1)</f>
        <v/>
      </c>
      <c r="E43" s="16">
        <f>IF(OR(A43="",B43&lt;=0),"",LN(B43))</f>
        <v/>
      </c>
      <c r="F43" s="16">
        <f>IF(E43="","",$L$6+$L$5*D43)</f>
        <v/>
      </c>
      <c r="G43" s="16">
        <f>IF(E43="","",E43-F43)</f>
        <v/>
      </c>
      <c r="H43" s="16">
        <f>IF(E43="","",F43+INDEX($L$9:$L$15,C43))</f>
        <v/>
      </c>
      <c r="I43" s="16">
        <f>IF(E43="","",E43-H43)</f>
        <v/>
      </c>
      <c r="K43" s="5" t="n">
        <v>14</v>
      </c>
      <c r="L43" s="13">
        <f>IF(OR($L$19&lt;14,$L$20&gt;0,$L$21&lt;&gt;$L$19,14&gt;INT($L$19/3)),"",EXP($L$6+$L$5*($L$21+14)+INDEX($L$9:$L$15,WEEKDAY(MAX($A$5:$A$400)+14,2))))</f>
        <v/>
      </c>
      <c r="M43" s="14">
        <f>IF(L43="","",EXP($L$6+$L$5*($L$21+14)+INDEX($L$9:$L$15,WEEKDAY(MAX($A$5:$A$400)+14,2))-$L$18*$L$17))</f>
        <v/>
      </c>
      <c r="N43" s="14">
        <f>IF(L43="","",EXP($L$6+$L$5*($L$21+14)+INDEX($L$9:$L$15,WEEKDAY(MAX($A$5:$A$400)+14,2))+$L$18*$L$17))</f>
        <v/>
      </c>
    </row>
    <row r="44">
      <c r="A44" s="5" t="n"/>
      <c r="B44" s="7" t="n"/>
      <c r="C44">
        <f>IF(A44="","",WEEKDAY(A44,2))</f>
        <v/>
      </c>
      <c r="D44">
        <f>IF(A44="","",A44-MIN($A$5:$A$400)+1)</f>
        <v/>
      </c>
      <c r="E44" s="16">
        <f>IF(OR(A44="",B44&lt;=0),"",LN(B44))</f>
        <v/>
      </c>
      <c r="F44" s="16">
        <f>IF(E44="","",$L$6+$L$5*D44)</f>
        <v/>
      </c>
      <c r="G44" s="16">
        <f>IF(E44="","",E44-F44)</f>
        <v/>
      </c>
      <c r="H44" s="16">
        <f>IF(E44="","",F44+INDEX($L$9:$L$15,C44))</f>
        <v/>
      </c>
      <c r="I44" s="16">
        <f>IF(E44="","",E44-H44)</f>
        <v/>
      </c>
      <c r="K44" s="5" t="n">
        <v>15</v>
      </c>
      <c r="L44" s="13">
        <f>IF(OR($L$19&lt;14,$L$20&gt;0,$L$21&lt;&gt;$L$19,15&gt;INT($L$19/3)),"",EXP($L$6+$L$5*($L$21+15)+INDEX($L$9:$L$15,WEEKDAY(MAX($A$5:$A$400)+15,2))))</f>
        <v/>
      </c>
      <c r="M44" s="14">
        <f>IF(L44="","",EXP($L$6+$L$5*($L$21+15)+INDEX($L$9:$L$15,WEEKDAY(MAX($A$5:$A$400)+15,2))-$L$18*$L$17))</f>
        <v/>
      </c>
      <c r="N44" s="14">
        <f>IF(L44="","",EXP($L$6+$L$5*($L$21+15)+INDEX($L$9:$L$15,WEEKDAY(MAX($A$5:$A$400)+15,2))+$L$18*$L$17))</f>
        <v/>
      </c>
    </row>
    <row r="45">
      <c r="A45" s="5" t="n"/>
      <c r="B45" s="7" t="n"/>
      <c r="C45">
        <f>IF(A45="","",WEEKDAY(A45,2))</f>
        <v/>
      </c>
      <c r="D45">
        <f>IF(A45="","",A45-MIN($A$5:$A$400)+1)</f>
        <v/>
      </c>
      <c r="E45" s="16">
        <f>IF(OR(A45="",B45&lt;=0),"",LN(B45))</f>
        <v/>
      </c>
      <c r="F45" s="16">
        <f>IF(E45="","",$L$6+$L$5*D45)</f>
        <v/>
      </c>
      <c r="G45" s="16">
        <f>IF(E45="","",E45-F45)</f>
        <v/>
      </c>
      <c r="H45" s="16">
        <f>IF(E45="","",F45+INDEX($L$9:$L$15,C45))</f>
        <v/>
      </c>
      <c r="I45" s="16">
        <f>IF(E45="","",E45-H45)</f>
        <v/>
      </c>
      <c r="K45" s="5" t="n">
        <v>16</v>
      </c>
      <c r="L45" s="13">
        <f>IF(OR($L$19&lt;14,$L$20&gt;0,$L$21&lt;&gt;$L$19,16&gt;INT($L$19/3)),"",EXP($L$6+$L$5*($L$21+16)+INDEX($L$9:$L$15,WEEKDAY(MAX($A$5:$A$400)+16,2))))</f>
        <v/>
      </c>
      <c r="M45" s="14">
        <f>IF(L45="","",EXP($L$6+$L$5*($L$21+16)+INDEX($L$9:$L$15,WEEKDAY(MAX($A$5:$A$400)+16,2))-$L$18*$L$17))</f>
        <v/>
      </c>
      <c r="N45" s="14">
        <f>IF(L45="","",EXP($L$6+$L$5*($L$21+16)+INDEX($L$9:$L$15,WEEKDAY(MAX($A$5:$A$400)+16,2))+$L$18*$L$17))</f>
        <v/>
      </c>
    </row>
    <row r="46">
      <c r="A46" s="5" t="n"/>
      <c r="B46" s="7" t="n"/>
      <c r="C46">
        <f>IF(A46="","",WEEKDAY(A46,2))</f>
        <v/>
      </c>
      <c r="D46">
        <f>IF(A46="","",A46-MIN($A$5:$A$400)+1)</f>
        <v/>
      </c>
      <c r="E46" s="16">
        <f>IF(OR(A46="",B46&lt;=0),"",LN(B46))</f>
        <v/>
      </c>
      <c r="F46" s="16">
        <f>IF(E46="","",$L$6+$L$5*D46)</f>
        <v/>
      </c>
      <c r="G46" s="16">
        <f>IF(E46="","",E46-F46)</f>
        <v/>
      </c>
      <c r="H46" s="16">
        <f>IF(E46="","",F46+INDEX($L$9:$L$15,C46))</f>
        <v/>
      </c>
      <c r="I46" s="16">
        <f>IF(E46="","",E46-H46)</f>
        <v/>
      </c>
      <c r="K46" s="5" t="n">
        <v>17</v>
      </c>
      <c r="L46" s="13">
        <f>IF(OR($L$19&lt;14,$L$20&gt;0,$L$21&lt;&gt;$L$19,17&gt;INT($L$19/3)),"",EXP($L$6+$L$5*($L$21+17)+INDEX($L$9:$L$15,WEEKDAY(MAX($A$5:$A$400)+17,2))))</f>
        <v/>
      </c>
      <c r="M46" s="14">
        <f>IF(L46="","",EXP($L$6+$L$5*($L$21+17)+INDEX($L$9:$L$15,WEEKDAY(MAX($A$5:$A$400)+17,2))-$L$18*$L$17))</f>
        <v/>
      </c>
      <c r="N46" s="14">
        <f>IF(L46="","",EXP($L$6+$L$5*($L$21+17)+INDEX($L$9:$L$15,WEEKDAY(MAX($A$5:$A$400)+17,2))+$L$18*$L$17))</f>
        <v/>
      </c>
    </row>
    <row r="47">
      <c r="A47" s="5" t="n"/>
      <c r="B47" s="7" t="n"/>
      <c r="C47">
        <f>IF(A47="","",WEEKDAY(A47,2))</f>
        <v/>
      </c>
      <c r="D47">
        <f>IF(A47="","",A47-MIN($A$5:$A$400)+1)</f>
        <v/>
      </c>
      <c r="E47" s="16">
        <f>IF(OR(A47="",B47&lt;=0),"",LN(B47))</f>
        <v/>
      </c>
      <c r="F47" s="16">
        <f>IF(E47="","",$L$6+$L$5*D47)</f>
        <v/>
      </c>
      <c r="G47" s="16">
        <f>IF(E47="","",E47-F47)</f>
        <v/>
      </c>
      <c r="H47" s="16">
        <f>IF(E47="","",F47+INDEX($L$9:$L$15,C47))</f>
        <v/>
      </c>
      <c r="I47" s="16">
        <f>IF(E47="","",E47-H47)</f>
        <v/>
      </c>
      <c r="K47" s="5" t="n">
        <v>18</v>
      </c>
      <c r="L47" s="13">
        <f>IF(OR($L$19&lt;14,$L$20&gt;0,$L$21&lt;&gt;$L$19,18&gt;INT($L$19/3)),"",EXP($L$6+$L$5*($L$21+18)+INDEX($L$9:$L$15,WEEKDAY(MAX($A$5:$A$400)+18,2))))</f>
        <v/>
      </c>
      <c r="M47" s="14">
        <f>IF(L47="","",EXP($L$6+$L$5*($L$21+18)+INDEX($L$9:$L$15,WEEKDAY(MAX($A$5:$A$400)+18,2))-$L$18*$L$17))</f>
        <v/>
      </c>
      <c r="N47" s="14">
        <f>IF(L47="","",EXP($L$6+$L$5*($L$21+18)+INDEX($L$9:$L$15,WEEKDAY(MAX($A$5:$A$400)+18,2))+$L$18*$L$17))</f>
        <v/>
      </c>
    </row>
    <row r="48">
      <c r="A48" s="5" t="n"/>
      <c r="B48" s="7" t="n"/>
      <c r="C48">
        <f>IF(A48="","",WEEKDAY(A48,2))</f>
        <v/>
      </c>
      <c r="D48">
        <f>IF(A48="","",A48-MIN($A$5:$A$400)+1)</f>
        <v/>
      </c>
      <c r="E48" s="16">
        <f>IF(OR(A48="",B48&lt;=0),"",LN(B48))</f>
        <v/>
      </c>
      <c r="F48" s="16">
        <f>IF(E48="","",$L$6+$L$5*D48)</f>
        <v/>
      </c>
      <c r="G48" s="16">
        <f>IF(E48="","",E48-F48)</f>
        <v/>
      </c>
      <c r="H48" s="16">
        <f>IF(E48="","",F48+INDEX($L$9:$L$15,C48))</f>
        <v/>
      </c>
      <c r="I48" s="16">
        <f>IF(E48="","",E48-H48)</f>
        <v/>
      </c>
      <c r="K48" s="5" t="n">
        <v>19</v>
      </c>
      <c r="L48" s="13">
        <f>IF(OR($L$19&lt;14,$L$20&gt;0,$L$21&lt;&gt;$L$19,19&gt;INT($L$19/3)),"",EXP($L$6+$L$5*($L$21+19)+INDEX($L$9:$L$15,WEEKDAY(MAX($A$5:$A$400)+19,2))))</f>
        <v/>
      </c>
      <c r="M48" s="14">
        <f>IF(L48="","",EXP($L$6+$L$5*($L$21+19)+INDEX($L$9:$L$15,WEEKDAY(MAX($A$5:$A$400)+19,2))-$L$18*$L$17))</f>
        <v/>
      </c>
      <c r="N48" s="14">
        <f>IF(L48="","",EXP($L$6+$L$5*($L$21+19)+INDEX($L$9:$L$15,WEEKDAY(MAX($A$5:$A$400)+19,2))+$L$18*$L$17))</f>
        <v/>
      </c>
    </row>
    <row r="49">
      <c r="A49" s="5" t="n"/>
      <c r="B49" s="7" t="n"/>
      <c r="C49">
        <f>IF(A49="","",WEEKDAY(A49,2))</f>
        <v/>
      </c>
      <c r="D49">
        <f>IF(A49="","",A49-MIN($A$5:$A$400)+1)</f>
        <v/>
      </c>
      <c r="E49" s="16">
        <f>IF(OR(A49="",B49&lt;=0),"",LN(B49))</f>
        <v/>
      </c>
      <c r="F49" s="16">
        <f>IF(E49="","",$L$6+$L$5*D49)</f>
        <v/>
      </c>
      <c r="G49" s="16">
        <f>IF(E49="","",E49-F49)</f>
        <v/>
      </c>
      <c r="H49" s="16">
        <f>IF(E49="","",F49+INDEX($L$9:$L$15,C49))</f>
        <v/>
      </c>
      <c r="I49" s="16">
        <f>IF(E49="","",E49-H49)</f>
        <v/>
      </c>
      <c r="K49" s="5" t="n">
        <v>20</v>
      </c>
      <c r="L49" s="13">
        <f>IF(OR($L$19&lt;14,$L$20&gt;0,$L$21&lt;&gt;$L$19,20&gt;INT($L$19/3)),"",EXP($L$6+$L$5*($L$21+20)+INDEX($L$9:$L$15,WEEKDAY(MAX($A$5:$A$400)+20,2))))</f>
        <v/>
      </c>
      <c r="M49" s="14">
        <f>IF(L49="","",EXP($L$6+$L$5*($L$21+20)+INDEX($L$9:$L$15,WEEKDAY(MAX($A$5:$A$400)+20,2))-$L$18*$L$17))</f>
        <v/>
      </c>
      <c r="N49" s="14">
        <f>IF(L49="","",EXP($L$6+$L$5*($L$21+20)+INDEX($L$9:$L$15,WEEKDAY(MAX($A$5:$A$400)+20,2))+$L$18*$L$17))</f>
        <v/>
      </c>
    </row>
    <row r="50">
      <c r="A50" s="5" t="n"/>
      <c r="B50" s="7" t="n"/>
      <c r="C50">
        <f>IF(A50="","",WEEKDAY(A50,2))</f>
        <v/>
      </c>
      <c r="D50">
        <f>IF(A50="","",A50-MIN($A$5:$A$400)+1)</f>
        <v/>
      </c>
      <c r="E50" s="16">
        <f>IF(OR(A50="",B50&lt;=0),"",LN(B50))</f>
        <v/>
      </c>
      <c r="F50" s="16">
        <f>IF(E50="","",$L$6+$L$5*D50)</f>
        <v/>
      </c>
      <c r="G50" s="16">
        <f>IF(E50="","",E50-F50)</f>
        <v/>
      </c>
      <c r="H50" s="16">
        <f>IF(E50="","",F50+INDEX($L$9:$L$15,C50))</f>
        <v/>
      </c>
      <c r="I50" s="16">
        <f>IF(E50="","",E50-H50)</f>
        <v/>
      </c>
      <c r="K50" s="5" t="n">
        <v>21</v>
      </c>
      <c r="L50" s="13">
        <f>IF(OR($L$19&lt;14,$L$20&gt;0,$L$21&lt;&gt;$L$19,21&gt;INT($L$19/3)),"",EXP($L$6+$L$5*($L$21+21)+INDEX($L$9:$L$15,WEEKDAY(MAX($A$5:$A$400)+21,2))))</f>
        <v/>
      </c>
      <c r="M50" s="14">
        <f>IF(L50="","",EXP($L$6+$L$5*($L$21+21)+INDEX($L$9:$L$15,WEEKDAY(MAX($A$5:$A$400)+21,2))-$L$18*$L$17))</f>
        <v/>
      </c>
      <c r="N50" s="14">
        <f>IF(L50="","",EXP($L$6+$L$5*($L$21+21)+INDEX($L$9:$L$15,WEEKDAY(MAX($A$5:$A$400)+21,2))+$L$18*$L$17))</f>
        <v/>
      </c>
    </row>
    <row r="51">
      <c r="A51" s="5" t="n"/>
      <c r="B51" s="7" t="n"/>
      <c r="C51">
        <f>IF(A51="","",WEEKDAY(A51,2))</f>
        <v/>
      </c>
      <c r="D51">
        <f>IF(A51="","",A51-MIN($A$5:$A$400)+1)</f>
        <v/>
      </c>
      <c r="E51" s="16">
        <f>IF(OR(A51="",B51&lt;=0),"",LN(B51))</f>
        <v/>
      </c>
      <c r="F51" s="16">
        <f>IF(E51="","",$L$6+$L$5*D51)</f>
        <v/>
      </c>
      <c r="G51" s="16">
        <f>IF(E51="","",E51-F51)</f>
        <v/>
      </c>
      <c r="H51" s="16">
        <f>IF(E51="","",F51+INDEX($L$9:$L$15,C51))</f>
        <v/>
      </c>
      <c r="I51" s="16">
        <f>IF(E51="","",E51-H51)</f>
        <v/>
      </c>
      <c r="K51" s="5" t="n">
        <v>22</v>
      </c>
      <c r="L51" s="13">
        <f>IF(OR($L$19&lt;14,$L$20&gt;0,$L$21&lt;&gt;$L$19,22&gt;INT($L$19/3)),"",EXP($L$6+$L$5*($L$21+22)+INDEX($L$9:$L$15,WEEKDAY(MAX($A$5:$A$400)+22,2))))</f>
        <v/>
      </c>
      <c r="M51" s="14">
        <f>IF(L51="","",EXP($L$6+$L$5*($L$21+22)+INDEX($L$9:$L$15,WEEKDAY(MAX($A$5:$A$400)+22,2))-$L$18*$L$17))</f>
        <v/>
      </c>
      <c r="N51" s="14">
        <f>IF(L51="","",EXP($L$6+$L$5*($L$21+22)+INDEX($L$9:$L$15,WEEKDAY(MAX($A$5:$A$400)+22,2))+$L$18*$L$17))</f>
        <v/>
      </c>
    </row>
    <row r="52">
      <c r="A52" s="5" t="n"/>
      <c r="B52" s="7" t="n"/>
      <c r="C52">
        <f>IF(A52="","",WEEKDAY(A52,2))</f>
        <v/>
      </c>
      <c r="D52">
        <f>IF(A52="","",A52-MIN($A$5:$A$400)+1)</f>
        <v/>
      </c>
      <c r="E52" s="16">
        <f>IF(OR(A52="",B52&lt;=0),"",LN(B52))</f>
        <v/>
      </c>
      <c r="F52" s="16">
        <f>IF(E52="","",$L$6+$L$5*D52)</f>
        <v/>
      </c>
      <c r="G52" s="16">
        <f>IF(E52="","",E52-F52)</f>
        <v/>
      </c>
      <c r="H52" s="16">
        <f>IF(E52="","",F52+INDEX($L$9:$L$15,C52))</f>
        <v/>
      </c>
      <c r="I52" s="16">
        <f>IF(E52="","",E52-H52)</f>
        <v/>
      </c>
      <c r="K52" s="5" t="n">
        <v>23</v>
      </c>
      <c r="L52" s="13">
        <f>IF(OR($L$19&lt;14,$L$20&gt;0,$L$21&lt;&gt;$L$19,23&gt;INT($L$19/3)),"",EXP($L$6+$L$5*($L$21+23)+INDEX($L$9:$L$15,WEEKDAY(MAX($A$5:$A$400)+23,2))))</f>
        <v/>
      </c>
      <c r="M52" s="14">
        <f>IF(L52="","",EXP($L$6+$L$5*($L$21+23)+INDEX($L$9:$L$15,WEEKDAY(MAX($A$5:$A$400)+23,2))-$L$18*$L$17))</f>
        <v/>
      </c>
      <c r="N52" s="14">
        <f>IF(L52="","",EXP($L$6+$L$5*($L$21+23)+INDEX($L$9:$L$15,WEEKDAY(MAX($A$5:$A$400)+23,2))+$L$18*$L$17))</f>
        <v/>
      </c>
    </row>
    <row r="53">
      <c r="A53" s="5" t="n"/>
      <c r="B53" s="7" t="n"/>
      <c r="C53">
        <f>IF(A53="","",WEEKDAY(A53,2))</f>
        <v/>
      </c>
      <c r="D53">
        <f>IF(A53="","",A53-MIN($A$5:$A$400)+1)</f>
        <v/>
      </c>
      <c r="E53" s="16">
        <f>IF(OR(A53="",B53&lt;=0),"",LN(B53))</f>
        <v/>
      </c>
      <c r="F53" s="16">
        <f>IF(E53="","",$L$6+$L$5*D53)</f>
        <v/>
      </c>
      <c r="G53" s="16">
        <f>IF(E53="","",E53-F53)</f>
        <v/>
      </c>
      <c r="H53" s="16">
        <f>IF(E53="","",F53+INDEX($L$9:$L$15,C53))</f>
        <v/>
      </c>
      <c r="I53" s="16">
        <f>IF(E53="","",E53-H53)</f>
        <v/>
      </c>
      <c r="K53" s="5" t="n">
        <v>24</v>
      </c>
      <c r="L53" s="13">
        <f>IF(OR($L$19&lt;14,$L$20&gt;0,$L$21&lt;&gt;$L$19,24&gt;INT($L$19/3)),"",EXP($L$6+$L$5*($L$21+24)+INDEX($L$9:$L$15,WEEKDAY(MAX($A$5:$A$400)+24,2))))</f>
        <v/>
      </c>
      <c r="M53" s="14">
        <f>IF(L53="","",EXP($L$6+$L$5*($L$21+24)+INDEX($L$9:$L$15,WEEKDAY(MAX($A$5:$A$400)+24,2))-$L$18*$L$17))</f>
        <v/>
      </c>
      <c r="N53" s="14">
        <f>IF(L53="","",EXP($L$6+$L$5*($L$21+24)+INDEX($L$9:$L$15,WEEKDAY(MAX($A$5:$A$400)+24,2))+$L$18*$L$17))</f>
        <v/>
      </c>
    </row>
    <row r="54">
      <c r="A54" s="5" t="n"/>
      <c r="B54" s="7" t="n"/>
      <c r="C54">
        <f>IF(A54="","",WEEKDAY(A54,2))</f>
        <v/>
      </c>
      <c r="D54">
        <f>IF(A54="","",A54-MIN($A$5:$A$400)+1)</f>
        <v/>
      </c>
      <c r="E54" s="16">
        <f>IF(OR(A54="",B54&lt;=0),"",LN(B54))</f>
        <v/>
      </c>
      <c r="F54" s="16">
        <f>IF(E54="","",$L$6+$L$5*D54)</f>
        <v/>
      </c>
      <c r="G54" s="16">
        <f>IF(E54="","",E54-F54)</f>
        <v/>
      </c>
      <c r="H54" s="16">
        <f>IF(E54="","",F54+INDEX($L$9:$L$15,C54))</f>
        <v/>
      </c>
      <c r="I54" s="16">
        <f>IF(E54="","",E54-H54)</f>
        <v/>
      </c>
      <c r="K54" s="5" t="n">
        <v>25</v>
      </c>
      <c r="L54" s="13">
        <f>IF(OR($L$19&lt;14,$L$20&gt;0,$L$21&lt;&gt;$L$19,25&gt;INT($L$19/3)),"",EXP($L$6+$L$5*($L$21+25)+INDEX($L$9:$L$15,WEEKDAY(MAX($A$5:$A$400)+25,2))))</f>
        <v/>
      </c>
      <c r="M54" s="14">
        <f>IF(L54="","",EXP($L$6+$L$5*($L$21+25)+INDEX($L$9:$L$15,WEEKDAY(MAX($A$5:$A$400)+25,2))-$L$18*$L$17))</f>
        <v/>
      </c>
      <c r="N54" s="14">
        <f>IF(L54="","",EXP($L$6+$L$5*($L$21+25)+INDEX($L$9:$L$15,WEEKDAY(MAX($A$5:$A$400)+25,2))+$L$18*$L$17))</f>
        <v/>
      </c>
    </row>
    <row r="55">
      <c r="A55" s="5" t="n"/>
      <c r="B55" s="7" t="n"/>
      <c r="C55">
        <f>IF(A55="","",WEEKDAY(A55,2))</f>
        <v/>
      </c>
      <c r="D55">
        <f>IF(A55="","",A55-MIN($A$5:$A$400)+1)</f>
        <v/>
      </c>
      <c r="E55" s="16">
        <f>IF(OR(A55="",B55&lt;=0),"",LN(B55))</f>
        <v/>
      </c>
      <c r="F55" s="16">
        <f>IF(E55="","",$L$6+$L$5*D55)</f>
        <v/>
      </c>
      <c r="G55" s="16">
        <f>IF(E55="","",E55-F55)</f>
        <v/>
      </c>
      <c r="H55" s="16">
        <f>IF(E55="","",F55+INDEX($L$9:$L$15,C55))</f>
        <v/>
      </c>
      <c r="I55" s="16">
        <f>IF(E55="","",E55-H55)</f>
        <v/>
      </c>
      <c r="K55" s="5" t="n">
        <v>26</v>
      </c>
      <c r="L55" s="13">
        <f>IF(OR($L$19&lt;14,$L$20&gt;0,$L$21&lt;&gt;$L$19,26&gt;INT($L$19/3)),"",EXP($L$6+$L$5*($L$21+26)+INDEX($L$9:$L$15,WEEKDAY(MAX($A$5:$A$400)+26,2))))</f>
        <v/>
      </c>
      <c r="M55" s="14">
        <f>IF(L55="","",EXP($L$6+$L$5*($L$21+26)+INDEX($L$9:$L$15,WEEKDAY(MAX($A$5:$A$400)+26,2))-$L$18*$L$17))</f>
        <v/>
      </c>
      <c r="N55" s="14">
        <f>IF(L55="","",EXP($L$6+$L$5*($L$21+26)+INDEX($L$9:$L$15,WEEKDAY(MAX($A$5:$A$400)+26,2))+$L$18*$L$17))</f>
        <v/>
      </c>
    </row>
    <row r="56">
      <c r="A56" s="5" t="n"/>
      <c r="B56" s="7" t="n"/>
      <c r="C56">
        <f>IF(A56="","",WEEKDAY(A56,2))</f>
        <v/>
      </c>
      <c r="D56">
        <f>IF(A56="","",A56-MIN($A$5:$A$400)+1)</f>
        <v/>
      </c>
      <c r="E56" s="16">
        <f>IF(OR(A56="",B56&lt;=0),"",LN(B56))</f>
        <v/>
      </c>
      <c r="F56" s="16">
        <f>IF(E56="","",$L$6+$L$5*D56)</f>
        <v/>
      </c>
      <c r="G56" s="16">
        <f>IF(E56="","",E56-F56)</f>
        <v/>
      </c>
      <c r="H56" s="16">
        <f>IF(E56="","",F56+INDEX($L$9:$L$15,C56))</f>
        <v/>
      </c>
      <c r="I56" s="16">
        <f>IF(E56="","",E56-H56)</f>
        <v/>
      </c>
      <c r="K56" s="5" t="n">
        <v>27</v>
      </c>
      <c r="L56" s="13">
        <f>IF(OR($L$19&lt;14,$L$20&gt;0,$L$21&lt;&gt;$L$19,27&gt;INT($L$19/3)),"",EXP($L$6+$L$5*($L$21+27)+INDEX($L$9:$L$15,WEEKDAY(MAX($A$5:$A$400)+27,2))))</f>
        <v/>
      </c>
      <c r="M56" s="14">
        <f>IF(L56="","",EXP($L$6+$L$5*($L$21+27)+INDEX($L$9:$L$15,WEEKDAY(MAX($A$5:$A$400)+27,2))-$L$18*$L$17))</f>
        <v/>
      </c>
      <c r="N56" s="14">
        <f>IF(L56="","",EXP($L$6+$L$5*($L$21+27)+INDEX($L$9:$L$15,WEEKDAY(MAX($A$5:$A$400)+27,2))+$L$18*$L$17))</f>
        <v/>
      </c>
    </row>
    <row r="57">
      <c r="A57" s="5" t="n"/>
      <c r="B57" s="7" t="n"/>
      <c r="C57">
        <f>IF(A57="","",WEEKDAY(A57,2))</f>
        <v/>
      </c>
      <c r="D57">
        <f>IF(A57="","",A57-MIN($A$5:$A$400)+1)</f>
        <v/>
      </c>
      <c r="E57" s="16">
        <f>IF(OR(A57="",B57&lt;=0),"",LN(B57))</f>
        <v/>
      </c>
      <c r="F57" s="16">
        <f>IF(E57="","",$L$6+$L$5*D57)</f>
        <v/>
      </c>
      <c r="G57" s="16">
        <f>IF(E57="","",E57-F57)</f>
        <v/>
      </c>
      <c r="H57" s="16">
        <f>IF(E57="","",F57+INDEX($L$9:$L$15,C57))</f>
        <v/>
      </c>
      <c r="I57" s="16">
        <f>IF(E57="","",E57-H57)</f>
        <v/>
      </c>
      <c r="K57" s="5" t="n">
        <v>28</v>
      </c>
      <c r="L57" s="13">
        <f>IF(OR($L$19&lt;14,$L$20&gt;0,$L$21&lt;&gt;$L$19,28&gt;INT($L$19/3)),"",EXP($L$6+$L$5*($L$21+28)+INDEX($L$9:$L$15,WEEKDAY(MAX($A$5:$A$400)+28,2))))</f>
        <v/>
      </c>
      <c r="M57" s="14">
        <f>IF(L57="","",EXP($L$6+$L$5*($L$21+28)+INDEX($L$9:$L$15,WEEKDAY(MAX($A$5:$A$400)+28,2))-$L$18*$L$17))</f>
        <v/>
      </c>
      <c r="N57" s="14">
        <f>IF(L57="","",EXP($L$6+$L$5*($L$21+28)+INDEX($L$9:$L$15,WEEKDAY(MAX($A$5:$A$400)+28,2))+$L$18*$L$17))</f>
        <v/>
      </c>
    </row>
    <row r="58">
      <c r="A58" s="5" t="n"/>
      <c r="B58" s="7" t="n"/>
      <c r="C58">
        <f>IF(A58="","",WEEKDAY(A58,2))</f>
        <v/>
      </c>
      <c r="D58">
        <f>IF(A58="","",A58-MIN($A$5:$A$400)+1)</f>
        <v/>
      </c>
      <c r="E58" s="16">
        <f>IF(OR(A58="",B58&lt;=0),"",LN(B58))</f>
        <v/>
      </c>
      <c r="F58" s="16">
        <f>IF(E58="","",$L$6+$L$5*D58)</f>
        <v/>
      </c>
      <c r="G58" s="16">
        <f>IF(E58="","",E58-F58)</f>
        <v/>
      </c>
      <c r="H58" s="16">
        <f>IF(E58="","",F58+INDEX($L$9:$L$15,C58))</f>
        <v/>
      </c>
      <c r="I58" s="16">
        <f>IF(E58="","",E58-H58)</f>
        <v/>
      </c>
      <c r="K58" s="5" t="n">
        <v>29</v>
      </c>
      <c r="L58" s="13">
        <f>IF(OR($L$19&lt;14,$L$20&gt;0,$L$21&lt;&gt;$L$19,29&gt;INT($L$19/3)),"",EXP($L$6+$L$5*($L$21+29)+INDEX($L$9:$L$15,WEEKDAY(MAX($A$5:$A$400)+29,2))))</f>
        <v/>
      </c>
      <c r="M58" s="14">
        <f>IF(L58="","",EXP($L$6+$L$5*($L$21+29)+INDEX($L$9:$L$15,WEEKDAY(MAX($A$5:$A$400)+29,2))-$L$18*$L$17))</f>
        <v/>
      </c>
      <c r="N58" s="14">
        <f>IF(L58="","",EXP($L$6+$L$5*($L$21+29)+INDEX($L$9:$L$15,WEEKDAY(MAX($A$5:$A$400)+29,2))+$L$18*$L$17))</f>
        <v/>
      </c>
    </row>
    <row r="59">
      <c r="A59" s="5" t="n"/>
      <c r="B59" s="7" t="n"/>
      <c r="C59">
        <f>IF(A59="","",WEEKDAY(A59,2))</f>
        <v/>
      </c>
      <c r="D59">
        <f>IF(A59="","",A59-MIN($A$5:$A$400)+1)</f>
        <v/>
      </c>
      <c r="E59" s="16">
        <f>IF(OR(A59="",B59&lt;=0),"",LN(B59))</f>
        <v/>
      </c>
      <c r="F59" s="16">
        <f>IF(E59="","",$L$6+$L$5*D59)</f>
        <v/>
      </c>
      <c r="G59" s="16">
        <f>IF(E59="","",E59-F59)</f>
        <v/>
      </c>
      <c r="H59" s="16">
        <f>IF(E59="","",F59+INDEX($L$9:$L$15,C59))</f>
        <v/>
      </c>
      <c r="I59" s="16">
        <f>IF(E59="","",E59-H59)</f>
        <v/>
      </c>
      <c r="K59" s="5" t="n">
        <v>30</v>
      </c>
      <c r="L59" s="13">
        <f>IF(OR($L$19&lt;14,$L$20&gt;0,$L$21&lt;&gt;$L$19,30&gt;INT($L$19/3)),"",EXP($L$6+$L$5*($L$21+30)+INDEX($L$9:$L$15,WEEKDAY(MAX($A$5:$A$400)+30,2))))</f>
        <v/>
      </c>
      <c r="M59" s="14">
        <f>IF(L59="","",EXP($L$6+$L$5*($L$21+30)+INDEX($L$9:$L$15,WEEKDAY(MAX($A$5:$A$400)+30,2))-$L$18*$L$17))</f>
        <v/>
      </c>
      <c r="N59" s="14">
        <f>IF(L59="","",EXP($L$6+$L$5*($L$21+30)+INDEX($L$9:$L$15,WEEKDAY(MAX($A$5:$A$400)+30,2))+$L$18*$L$17))</f>
        <v/>
      </c>
    </row>
    <row r="60">
      <c r="A60" s="5" t="n"/>
      <c r="B60" s="7" t="n"/>
      <c r="C60">
        <f>IF(A60="","",WEEKDAY(A60,2))</f>
        <v/>
      </c>
      <c r="D60">
        <f>IF(A60="","",A60-MIN($A$5:$A$400)+1)</f>
        <v/>
      </c>
      <c r="E60" s="16">
        <f>IF(OR(A60="",B60&lt;=0),"",LN(B60))</f>
        <v/>
      </c>
      <c r="F60" s="16">
        <f>IF(E60="","",$L$6+$L$5*D60)</f>
        <v/>
      </c>
      <c r="G60" s="16">
        <f>IF(E60="","",E60-F60)</f>
        <v/>
      </c>
      <c r="H60" s="16">
        <f>IF(E60="","",F60+INDEX($L$9:$L$15,C60))</f>
        <v/>
      </c>
      <c r="I60" s="16">
        <f>IF(E60="","",E60-H60)</f>
        <v/>
      </c>
    </row>
    <row r="61">
      <c r="A61" s="5" t="n"/>
      <c r="B61" s="7" t="n"/>
      <c r="C61">
        <f>IF(A61="","",WEEKDAY(A61,2))</f>
        <v/>
      </c>
      <c r="D61">
        <f>IF(A61="","",A61-MIN($A$5:$A$400)+1)</f>
        <v/>
      </c>
      <c r="E61" s="16">
        <f>IF(OR(A61="",B61&lt;=0),"",LN(B61))</f>
        <v/>
      </c>
      <c r="F61" s="16">
        <f>IF(E61="","",$L$6+$L$5*D61)</f>
        <v/>
      </c>
      <c r="G61" s="16">
        <f>IF(E61="","",E61-F61)</f>
        <v/>
      </c>
      <c r="H61" s="16">
        <f>IF(E61="","",F61+INDEX($L$9:$L$15,C61))</f>
        <v/>
      </c>
      <c r="I61" s="16">
        <f>IF(E61="","",E61-H61)</f>
        <v/>
      </c>
      <c r="K61" s="3" t="inlineStr">
        <is>
          <t>Month total</t>
        </is>
      </c>
      <c r="L61" s="15">
        <f>IF(L59="","",SUM(L30:L59))</f>
        <v/>
      </c>
      <c r="M61">
        <f>IF(AND(L30&lt;&gt;"",L59=""),"a month needs about 90 days of history; "&amp;INT(L19/3)&amp;" days ahead are shown","")</f>
        <v/>
      </c>
    </row>
    <row r="62">
      <c r="A62" s="5" t="n"/>
      <c r="B62" s="7" t="n"/>
      <c r="C62">
        <f>IF(A62="","",WEEKDAY(A62,2))</f>
        <v/>
      </c>
      <c r="D62">
        <f>IF(A62="","",A62-MIN($A$5:$A$400)+1)</f>
        <v/>
      </c>
      <c r="E62" s="16">
        <f>IF(OR(A62="",B62&lt;=0),"",LN(B62))</f>
        <v/>
      </c>
      <c r="F62" s="16">
        <f>IF(E62="","",$L$6+$L$5*D62)</f>
        <v/>
      </c>
      <c r="G62" s="16">
        <f>IF(E62="","",E62-F62)</f>
        <v/>
      </c>
      <c r="H62" s="16">
        <f>IF(E62="","",F62+INDEX($L$9:$L$15,C62))</f>
        <v/>
      </c>
      <c r="I62" s="16">
        <f>IF(E62="","",E62-H62)</f>
        <v/>
      </c>
    </row>
    <row r="63">
      <c r="A63" s="5" t="n"/>
      <c r="B63" s="7" t="n"/>
      <c r="C63">
        <f>IF(A63="","",WEEKDAY(A63,2))</f>
        <v/>
      </c>
      <c r="D63">
        <f>IF(A63="","",A63-MIN($A$5:$A$400)+1)</f>
        <v/>
      </c>
      <c r="E63" s="16">
        <f>IF(OR(A63="",B63&lt;=0),"",LN(B63))</f>
        <v/>
      </c>
      <c r="F63" s="16">
        <f>IF(E63="","",$L$6+$L$5*D63)</f>
        <v/>
      </c>
      <c r="G63" s="16">
        <f>IF(E63="","",E63-F63)</f>
        <v/>
      </c>
      <c r="H63" s="16">
        <f>IF(E63="","",F63+INDEX($L$9:$L$15,C63))</f>
        <v/>
      </c>
      <c r="I63" s="16">
        <f>IF(E63="","",E63-H63)</f>
        <v/>
      </c>
      <c r="K63" s="3" t="inlineStr">
        <is>
          <t>Before you trust any of it</t>
        </is>
      </c>
    </row>
    <row r="64" ht="30" customHeight="1">
      <c r="A64" s="5" t="n"/>
      <c r="B64" s="7" t="n"/>
      <c r="C64">
        <f>IF(A64="","",WEEKDAY(A64,2))</f>
        <v/>
      </c>
      <c r="D64">
        <f>IF(A64="","",A64-MIN($A$5:$A$400)+1)</f>
        <v/>
      </c>
      <c r="E64" s="16">
        <f>IF(OR(A64="",B64&lt;=0),"",LN(B64))</f>
        <v/>
      </c>
      <c r="F64" s="16">
        <f>IF(E64="","",$L$6+$L$5*D64)</f>
        <v/>
      </c>
      <c r="G64" s="16">
        <f>IF(E64="","",E64-F64)</f>
        <v/>
      </c>
      <c r="H64" s="16">
        <f>IF(E64="","",F64+INDEX($L$9:$L$15,C64))</f>
        <v/>
      </c>
      <c r="I64" s="16">
        <f>IF(E64="","",E64-H64)</f>
        <v/>
      </c>
      <c r="K64" s="4" t="inlineStr">
        <is>
          <t>Drop the newest days if your platform reports conversions late. They are under-reported and drag the trend down.</t>
        </is>
      </c>
    </row>
    <row r="65" ht="30" customHeight="1">
      <c r="A65" s="5" t="n"/>
      <c r="B65" s="7" t="n"/>
      <c r="C65">
        <f>IF(A65="","",WEEKDAY(A65,2))</f>
        <v/>
      </c>
      <c r="D65">
        <f>IF(A65="","",A65-MIN($A$5:$A$400)+1)</f>
        <v/>
      </c>
      <c r="E65" s="16">
        <f>IF(OR(A65="",B65&lt;=0),"",LN(B65))</f>
        <v/>
      </c>
      <c r="F65" s="16">
        <f>IF(E65="","",$L$6+$L$5*D65)</f>
        <v/>
      </c>
      <c r="G65" s="16">
        <f>IF(E65="","",E65-F65)</f>
        <v/>
      </c>
      <c r="H65" s="16">
        <f>IF(E65="","",F65+INDEX($L$9:$L$15,C65))</f>
        <v/>
      </c>
      <c r="I65" s="16">
        <f>IF(E65="","",E65-H65)</f>
        <v/>
      </c>
      <c r="K65" s="4" t="inlineStr">
        <is>
          <t>If the level stepped down and stayed down, paste only the days since the step. A straight line cannot describe both halves.</t>
        </is>
      </c>
    </row>
    <row r="66" ht="30" customHeight="1">
      <c r="A66" s="5" t="n"/>
      <c r="B66" s="7" t="n"/>
      <c r="C66">
        <f>IF(A66="","",WEEKDAY(A66,2))</f>
        <v/>
      </c>
      <c r="D66">
        <f>IF(A66="","",A66-MIN($A$5:$A$400)+1)</f>
        <v/>
      </c>
      <c r="E66" s="16">
        <f>IF(OR(A66="",B66&lt;=0),"",LN(B66))</f>
        <v/>
      </c>
      <c r="F66" s="16">
        <f>IF(E66="","",$L$6+$L$5*D66)</f>
        <v/>
      </c>
      <c r="G66" s="16">
        <f>IF(E66="","",E66-F66)</f>
        <v/>
      </c>
      <c r="H66" s="16">
        <f>IF(E66="","",F66+INDEX($L$9:$L$15,C66))</f>
        <v/>
      </c>
      <c r="I66" s="16">
        <f>IF(E66="","",E66-H66)</f>
        <v/>
      </c>
      <c r="K66" s="4" t="inlineStr">
        <is>
          <t>A change you have already approved for next month is not in this number. Adjust it by hand, and say that you did.</t>
        </is>
      </c>
    </row>
    <row r="67">
      <c r="A67" s="5" t="n"/>
      <c r="B67" s="7" t="n"/>
      <c r="C67">
        <f>IF(A67="","",WEEKDAY(A67,2))</f>
        <v/>
      </c>
      <c r="D67">
        <f>IF(A67="","",A67-MIN($A$5:$A$400)+1)</f>
        <v/>
      </c>
      <c r="E67" s="16">
        <f>IF(OR(A67="",B67&lt;=0),"",LN(B67))</f>
        <v/>
      </c>
      <c r="F67" s="16">
        <f>IF(E67="","",$L$6+$L$5*D67)</f>
        <v/>
      </c>
      <c r="G67" s="16">
        <f>IF(E67="","",E67-F67)</f>
        <v/>
      </c>
      <c r="H67" s="16">
        <f>IF(E67="","",F67+INDEX($L$9:$L$15,C67))</f>
        <v/>
      </c>
      <c r="I67" s="16">
        <f>IF(E67="","",E67-H67)</f>
        <v/>
      </c>
    </row>
    <row r="68">
      <c r="A68" s="5" t="n"/>
      <c r="B68" s="7" t="n"/>
      <c r="C68">
        <f>IF(A68="","",WEEKDAY(A68,2))</f>
        <v/>
      </c>
      <c r="D68">
        <f>IF(A68="","",A68-MIN($A$5:$A$400)+1)</f>
        <v/>
      </c>
      <c r="E68" s="16">
        <f>IF(OR(A68="",B68&lt;=0),"",LN(B68))</f>
        <v/>
      </c>
      <c r="F68" s="16">
        <f>IF(E68="","",$L$6+$L$5*D68)</f>
        <v/>
      </c>
      <c r="G68" s="16">
        <f>IF(E68="","",E68-F68)</f>
        <v/>
      </c>
      <c r="H68" s="16">
        <f>IF(E68="","",F68+INDEX($L$9:$L$15,C68))</f>
        <v/>
      </c>
      <c r="I68" s="16">
        <f>IF(E68="","",E68-H68)</f>
        <v/>
      </c>
    </row>
    <row r="69">
      <c r="A69" s="5" t="n"/>
      <c r="B69" s="7" t="n"/>
      <c r="C69">
        <f>IF(A69="","",WEEKDAY(A69,2))</f>
        <v/>
      </c>
      <c r="D69">
        <f>IF(A69="","",A69-MIN($A$5:$A$400)+1)</f>
        <v/>
      </c>
      <c r="E69" s="16">
        <f>IF(OR(A69="",B69&lt;=0),"",LN(B69))</f>
        <v/>
      </c>
      <c r="F69" s="16">
        <f>IF(E69="","",$L$6+$L$5*D69)</f>
        <v/>
      </c>
      <c r="G69" s="16">
        <f>IF(E69="","",E69-F69)</f>
        <v/>
      </c>
      <c r="H69" s="16">
        <f>IF(E69="","",F69+INDEX($L$9:$L$15,C69))</f>
        <v/>
      </c>
      <c r="I69" s="16">
        <f>IF(E69="","",E69-H69)</f>
        <v/>
      </c>
    </row>
    <row r="70">
      <c r="A70" s="5" t="n"/>
      <c r="B70" s="7" t="n"/>
      <c r="C70">
        <f>IF(A70="","",WEEKDAY(A70,2))</f>
        <v/>
      </c>
      <c r="D70">
        <f>IF(A70="","",A70-MIN($A$5:$A$400)+1)</f>
        <v/>
      </c>
      <c r="E70" s="16">
        <f>IF(OR(A70="",B70&lt;=0),"",LN(B70))</f>
        <v/>
      </c>
      <c r="F70" s="16">
        <f>IF(E70="","",$L$6+$L$5*D70)</f>
        <v/>
      </c>
      <c r="G70" s="16">
        <f>IF(E70="","",E70-F70)</f>
        <v/>
      </c>
      <c r="H70" s="16">
        <f>IF(E70="","",F70+INDEX($L$9:$L$15,C70))</f>
        <v/>
      </c>
      <c r="I70" s="16">
        <f>IF(E70="","",E70-H70)</f>
        <v/>
      </c>
    </row>
    <row r="71">
      <c r="A71" s="5" t="n"/>
      <c r="B71" s="7" t="n"/>
      <c r="C71">
        <f>IF(A71="","",WEEKDAY(A71,2))</f>
        <v/>
      </c>
      <c r="D71">
        <f>IF(A71="","",A71-MIN($A$5:$A$400)+1)</f>
        <v/>
      </c>
      <c r="E71" s="16">
        <f>IF(OR(A71="",B71&lt;=0),"",LN(B71))</f>
        <v/>
      </c>
      <c r="F71" s="16">
        <f>IF(E71="","",$L$6+$L$5*D71)</f>
        <v/>
      </c>
      <c r="G71" s="16">
        <f>IF(E71="","",E71-F71)</f>
        <v/>
      </c>
      <c r="H71" s="16">
        <f>IF(E71="","",F71+INDEX($L$9:$L$15,C71))</f>
        <v/>
      </c>
      <c r="I71" s="16">
        <f>IF(E71="","",E71-H71)</f>
        <v/>
      </c>
    </row>
    <row r="72">
      <c r="A72" s="5" t="n"/>
      <c r="B72" s="7" t="n"/>
      <c r="C72">
        <f>IF(A72="","",WEEKDAY(A72,2))</f>
        <v/>
      </c>
      <c r="D72">
        <f>IF(A72="","",A72-MIN($A$5:$A$400)+1)</f>
        <v/>
      </c>
      <c r="E72" s="16">
        <f>IF(OR(A72="",B72&lt;=0),"",LN(B72))</f>
        <v/>
      </c>
      <c r="F72" s="16">
        <f>IF(E72="","",$L$6+$L$5*D72)</f>
        <v/>
      </c>
      <c r="G72" s="16">
        <f>IF(E72="","",E72-F72)</f>
        <v/>
      </c>
      <c r="H72" s="16">
        <f>IF(E72="","",F72+INDEX($L$9:$L$15,C72))</f>
        <v/>
      </c>
      <c r="I72" s="16">
        <f>IF(E72="","",E72-H72)</f>
        <v/>
      </c>
    </row>
    <row r="73">
      <c r="A73" s="5" t="n"/>
      <c r="B73" s="7" t="n"/>
      <c r="C73">
        <f>IF(A73="","",WEEKDAY(A73,2))</f>
        <v/>
      </c>
      <c r="D73">
        <f>IF(A73="","",A73-MIN($A$5:$A$400)+1)</f>
        <v/>
      </c>
      <c r="E73" s="16">
        <f>IF(OR(A73="",B73&lt;=0),"",LN(B73))</f>
        <v/>
      </c>
      <c r="F73" s="16">
        <f>IF(E73="","",$L$6+$L$5*D73)</f>
        <v/>
      </c>
      <c r="G73" s="16">
        <f>IF(E73="","",E73-F73)</f>
        <v/>
      </c>
      <c r="H73" s="16">
        <f>IF(E73="","",F73+INDEX($L$9:$L$15,C73))</f>
        <v/>
      </c>
      <c r="I73" s="16">
        <f>IF(E73="","",E73-H73)</f>
        <v/>
      </c>
    </row>
    <row r="74">
      <c r="A74" s="5" t="n"/>
      <c r="B74" s="7" t="n"/>
      <c r="C74">
        <f>IF(A74="","",WEEKDAY(A74,2))</f>
        <v/>
      </c>
      <c r="D74">
        <f>IF(A74="","",A74-MIN($A$5:$A$400)+1)</f>
        <v/>
      </c>
      <c r="E74" s="16">
        <f>IF(OR(A74="",B74&lt;=0),"",LN(B74))</f>
        <v/>
      </c>
      <c r="F74" s="16">
        <f>IF(E74="","",$L$6+$L$5*D74)</f>
        <v/>
      </c>
      <c r="G74" s="16">
        <f>IF(E74="","",E74-F74)</f>
        <v/>
      </c>
      <c r="H74" s="16">
        <f>IF(E74="","",F74+INDEX($L$9:$L$15,C74))</f>
        <v/>
      </c>
      <c r="I74" s="16">
        <f>IF(E74="","",E74-H74)</f>
        <v/>
      </c>
    </row>
    <row r="75">
      <c r="A75" s="5" t="n"/>
      <c r="B75" s="7" t="n"/>
      <c r="C75">
        <f>IF(A75="","",WEEKDAY(A75,2))</f>
        <v/>
      </c>
      <c r="D75">
        <f>IF(A75="","",A75-MIN($A$5:$A$400)+1)</f>
        <v/>
      </c>
      <c r="E75" s="16">
        <f>IF(OR(A75="",B75&lt;=0),"",LN(B75))</f>
        <v/>
      </c>
      <c r="F75" s="16">
        <f>IF(E75="","",$L$6+$L$5*D75)</f>
        <v/>
      </c>
      <c r="G75" s="16">
        <f>IF(E75="","",E75-F75)</f>
        <v/>
      </c>
      <c r="H75" s="16">
        <f>IF(E75="","",F75+INDEX($L$9:$L$15,C75))</f>
        <v/>
      </c>
      <c r="I75" s="16">
        <f>IF(E75="","",E75-H75)</f>
        <v/>
      </c>
    </row>
    <row r="76">
      <c r="A76" s="5" t="n"/>
      <c r="B76" s="7" t="n"/>
      <c r="C76">
        <f>IF(A76="","",WEEKDAY(A76,2))</f>
        <v/>
      </c>
      <c r="D76">
        <f>IF(A76="","",A76-MIN($A$5:$A$400)+1)</f>
        <v/>
      </c>
      <c r="E76" s="16">
        <f>IF(OR(A76="",B76&lt;=0),"",LN(B76))</f>
        <v/>
      </c>
      <c r="F76" s="16">
        <f>IF(E76="","",$L$6+$L$5*D76)</f>
        <v/>
      </c>
      <c r="G76" s="16">
        <f>IF(E76="","",E76-F76)</f>
        <v/>
      </c>
      <c r="H76" s="16">
        <f>IF(E76="","",F76+INDEX($L$9:$L$15,C76))</f>
        <v/>
      </c>
      <c r="I76" s="16">
        <f>IF(E76="","",E76-H76)</f>
        <v/>
      </c>
    </row>
    <row r="77">
      <c r="A77" s="5" t="n"/>
      <c r="B77" s="7" t="n"/>
      <c r="C77">
        <f>IF(A77="","",WEEKDAY(A77,2))</f>
        <v/>
      </c>
      <c r="D77">
        <f>IF(A77="","",A77-MIN($A$5:$A$400)+1)</f>
        <v/>
      </c>
      <c r="E77" s="16">
        <f>IF(OR(A77="",B77&lt;=0),"",LN(B77))</f>
        <v/>
      </c>
      <c r="F77" s="16">
        <f>IF(E77="","",$L$6+$L$5*D77)</f>
        <v/>
      </c>
      <c r="G77" s="16">
        <f>IF(E77="","",E77-F77)</f>
        <v/>
      </c>
      <c r="H77" s="16">
        <f>IF(E77="","",F77+INDEX($L$9:$L$15,C77))</f>
        <v/>
      </c>
      <c r="I77" s="16">
        <f>IF(E77="","",E77-H77)</f>
        <v/>
      </c>
    </row>
    <row r="78">
      <c r="A78" s="5" t="n"/>
      <c r="B78" s="7" t="n"/>
      <c r="C78">
        <f>IF(A78="","",WEEKDAY(A78,2))</f>
        <v/>
      </c>
      <c r="D78">
        <f>IF(A78="","",A78-MIN($A$5:$A$400)+1)</f>
        <v/>
      </c>
      <c r="E78" s="16">
        <f>IF(OR(A78="",B78&lt;=0),"",LN(B78))</f>
        <v/>
      </c>
      <c r="F78" s="16">
        <f>IF(E78="","",$L$6+$L$5*D78)</f>
        <v/>
      </c>
      <c r="G78" s="16">
        <f>IF(E78="","",E78-F78)</f>
        <v/>
      </c>
      <c r="H78" s="16">
        <f>IF(E78="","",F78+INDEX($L$9:$L$15,C78))</f>
        <v/>
      </c>
      <c r="I78" s="16">
        <f>IF(E78="","",E78-H78)</f>
        <v/>
      </c>
    </row>
    <row r="79">
      <c r="A79" s="5" t="n"/>
      <c r="B79" s="7" t="n"/>
      <c r="C79">
        <f>IF(A79="","",WEEKDAY(A79,2))</f>
        <v/>
      </c>
      <c r="D79">
        <f>IF(A79="","",A79-MIN($A$5:$A$400)+1)</f>
        <v/>
      </c>
      <c r="E79" s="16">
        <f>IF(OR(A79="",B79&lt;=0),"",LN(B79))</f>
        <v/>
      </c>
      <c r="F79" s="16">
        <f>IF(E79="","",$L$6+$L$5*D79)</f>
        <v/>
      </c>
      <c r="G79" s="16">
        <f>IF(E79="","",E79-F79)</f>
        <v/>
      </c>
      <c r="H79" s="16">
        <f>IF(E79="","",F79+INDEX($L$9:$L$15,C79))</f>
        <v/>
      </c>
      <c r="I79" s="16">
        <f>IF(E79="","",E79-H79)</f>
        <v/>
      </c>
    </row>
    <row r="80">
      <c r="A80" s="5" t="n"/>
      <c r="B80" s="7" t="n"/>
      <c r="C80">
        <f>IF(A80="","",WEEKDAY(A80,2))</f>
        <v/>
      </c>
      <c r="D80">
        <f>IF(A80="","",A80-MIN($A$5:$A$400)+1)</f>
        <v/>
      </c>
      <c r="E80" s="16">
        <f>IF(OR(A80="",B80&lt;=0),"",LN(B80))</f>
        <v/>
      </c>
      <c r="F80" s="16">
        <f>IF(E80="","",$L$6+$L$5*D80)</f>
        <v/>
      </c>
      <c r="G80" s="16">
        <f>IF(E80="","",E80-F80)</f>
        <v/>
      </c>
      <c r="H80" s="16">
        <f>IF(E80="","",F80+INDEX($L$9:$L$15,C80))</f>
        <v/>
      </c>
      <c r="I80" s="16">
        <f>IF(E80="","",E80-H80)</f>
        <v/>
      </c>
    </row>
    <row r="81">
      <c r="A81" s="5" t="n"/>
      <c r="B81" s="7" t="n"/>
      <c r="C81">
        <f>IF(A81="","",WEEKDAY(A81,2))</f>
        <v/>
      </c>
      <c r="D81">
        <f>IF(A81="","",A81-MIN($A$5:$A$400)+1)</f>
        <v/>
      </c>
      <c r="E81" s="16">
        <f>IF(OR(A81="",B81&lt;=0),"",LN(B81))</f>
        <v/>
      </c>
      <c r="F81" s="16">
        <f>IF(E81="","",$L$6+$L$5*D81)</f>
        <v/>
      </c>
      <c r="G81" s="16">
        <f>IF(E81="","",E81-F81)</f>
        <v/>
      </c>
      <c r="H81" s="16">
        <f>IF(E81="","",F81+INDEX($L$9:$L$15,C81))</f>
        <v/>
      </c>
      <c r="I81" s="16">
        <f>IF(E81="","",E81-H81)</f>
        <v/>
      </c>
    </row>
    <row r="82">
      <c r="A82" s="5" t="n"/>
      <c r="B82" s="7" t="n"/>
      <c r="C82">
        <f>IF(A82="","",WEEKDAY(A82,2))</f>
        <v/>
      </c>
      <c r="D82">
        <f>IF(A82="","",A82-MIN($A$5:$A$400)+1)</f>
        <v/>
      </c>
      <c r="E82" s="16">
        <f>IF(OR(A82="",B82&lt;=0),"",LN(B82))</f>
        <v/>
      </c>
      <c r="F82" s="16">
        <f>IF(E82="","",$L$6+$L$5*D82)</f>
        <v/>
      </c>
      <c r="G82" s="16">
        <f>IF(E82="","",E82-F82)</f>
        <v/>
      </c>
      <c r="H82" s="16">
        <f>IF(E82="","",F82+INDEX($L$9:$L$15,C82))</f>
        <v/>
      </c>
      <c r="I82" s="16">
        <f>IF(E82="","",E82-H82)</f>
        <v/>
      </c>
    </row>
    <row r="83">
      <c r="A83" s="5" t="n"/>
      <c r="B83" s="7" t="n"/>
      <c r="C83">
        <f>IF(A83="","",WEEKDAY(A83,2))</f>
        <v/>
      </c>
      <c r="D83">
        <f>IF(A83="","",A83-MIN($A$5:$A$400)+1)</f>
        <v/>
      </c>
      <c r="E83" s="16">
        <f>IF(OR(A83="",B83&lt;=0),"",LN(B83))</f>
        <v/>
      </c>
      <c r="F83" s="16">
        <f>IF(E83="","",$L$6+$L$5*D83)</f>
        <v/>
      </c>
      <c r="G83" s="16">
        <f>IF(E83="","",E83-F83)</f>
        <v/>
      </c>
      <c r="H83" s="16">
        <f>IF(E83="","",F83+INDEX($L$9:$L$15,C83))</f>
        <v/>
      </c>
      <c r="I83" s="16">
        <f>IF(E83="","",E83-H83)</f>
        <v/>
      </c>
    </row>
    <row r="84">
      <c r="A84" s="5" t="n"/>
      <c r="B84" s="7" t="n"/>
      <c r="C84">
        <f>IF(A84="","",WEEKDAY(A84,2))</f>
        <v/>
      </c>
      <c r="D84">
        <f>IF(A84="","",A84-MIN($A$5:$A$400)+1)</f>
        <v/>
      </c>
      <c r="E84" s="16">
        <f>IF(OR(A84="",B84&lt;=0),"",LN(B84))</f>
        <v/>
      </c>
      <c r="F84" s="16">
        <f>IF(E84="","",$L$6+$L$5*D84)</f>
        <v/>
      </c>
      <c r="G84" s="16">
        <f>IF(E84="","",E84-F84)</f>
        <v/>
      </c>
      <c r="H84" s="16">
        <f>IF(E84="","",F84+INDEX($L$9:$L$15,C84))</f>
        <v/>
      </c>
      <c r="I84" s="16">
        <f>IF(E84="","",E84-H84)</f>
        <v/>
      </c>
    </row>
    <row r="85">
      <c r="A85" s="5" t="n"/>
      <c r="B85" s="7" t="n"/>
      <c r="C85">
        <f>IF(A85="","",WEEKDAY(A85,2))</f>
        <v/>
      </c>
      <c r="D85">
        <f>IF(A85="","",A85-MIN($A$5:$A$400)+1)</f>
        <v/>
      </c>
      <c r="E85" s="16">
        <f>IF(OR(A85="",B85&lt;=0),"",LN(B85))</f>
        <v/>
      </c>
      <c r="F85" s="16">
        <f>IF(E85="","",$L$6+$L$5*D85)</f>
        <v/>
      </c>
      <c r="G85" s="16">
        <f>IF(E85="","",E85-F85)</f>
        <v/>
      </c>
      <c r="H85" s="16">
        <f>IF(E85="","",F85+INDEX($L$9:$L$15,C85))</f>
        <v/>
      </c>
      <c r="I85" s="16">
        <f>IF(E85="","",E85-H85)</f>
        <v/>
      </c>
    </row>
    <row r="86">
      <c r="A86" s="5" t="n"/>
      <c r="B86" s="7" t="n"/>
      <c r="C86">
        <f>IF(A86="","",WEEKDAY(A86,2))</f>
        <v/>
      </c>
      <c r="D86">
        <f>IF(A86="","",A86-MIN($A$5:$A$400)+1)</f>
        <v/>
      </c>
      <c r="E86" s="16">
        <f>IF(OR(A86="",B86&lt;=0),"",LN(B86))</f>
        <v/>
      </c>
      <c r="F86" s="16">
        <f>IF(E86="","",$L$6+$L$5*D86)</f>
        <v/>
      </c>
      <c r="G86" s="16">
        <f>IF(E86="","",E86-F86)</f>
        <v/>
      </c>
      <c r="H86" s="16">
        <f>IF(E86="","",F86+INDEX($L$9:$L$15,C86))</f>
        <v/>
      </c>
      <c r="I86" s="16">
        <f>IF(E86="","",E86-H86)</f>
        <v/>
      </c>
    </row>
    <row r="87">
      <c r="A87" s="5" t="n"/>
      <c r="B87" s="7" t="n"/>
      <c r="C87">
        <f>IF(A87="","",WEEKDAY(A87,2))</f>
        <v/>
      </c>
      <c r="D87">
        <f>IF(A87="","",A87-MIN($A$5:$A$400)+1)</f>
        <v/>
      </c>
      <c r="E87" s="16">
        <f>IF(OR(A87="",B87&lt;=0),"",LN(B87))</f>
        <v/>
      </c>
      <c r="F87" s="16">
        <f>IF(E87="","",$L$6+$L$5*D87)</f>
        <v/>
      </c>
      <c r="G87" s="16">
        <f>IF(E87="","",E87-F87)</f>
        <v/>
      </c>
      <c r="H87" s="16">
        <f>IF(E87="","",F87+INDEX($L$9:$L$15,C87))</f>
        <v/>
      </c>
      <c r="I87" s="16">
        <f>IF(E87="","",E87-H87)</f>
        <v/>
      </c>
    </row>
    <row r="88">
      <c r="A88" s="5" t="n"/>
      <c r="B88" s="7" t="n"/>
      <c r="C88">
        <f>IF(A88="","",WEEKDAY(A88,2))</f>
        <v/>
      </c>
      <c r="D88">
        <f>IF(A88="","",A88-MIN($A$5:$A$400)+1)</f>
        <v/>
      </c>
      <c r="E88" s="16">
        <f>IF(OR(A88="",B88&lt;=0),"",LN(B88))</f>
        <v/>
      </c>
      <c r="F88" s="16">
        <f>IF(E88="","",$L$6+$L$5*D88)</f>
        <v/>
      </c>
      <c r="G88" s="16">
        <f>IF(E88="","",E88-F88)</f>
        <v/>
      </c>
      <c r="H88" s="16">
        <f>IF(E88="","",F88+INDEX($L$9:$L$15,C88))</f>
        <v/>
      </c>
      <c r="I88" s="16">
        <f>IF(E88="","",E88-H88)</f>
        <v/>
      </c>
    </row>
    <row r="89">
      <c r="A89" s="5" t="n"/>
      <c r="B89" s="7" t="n"/>
      <c r="C89">
        <f>IF(A89="","",WEEKDAY(A89,2))</f>
        <v/>
      </c>
      <c r="D89">
        <f>IF(A89="","",A89-MIN($A$5:$A$400)+1)</f>
        <v/>
      </c>
      <c r="E89" s="16">
        <f>IF(OR(A89="",B89&lt;=0),"",LN(B89))</f>
        <v/>
      </c>
      <c r="F89" s="16">
        <f>IF(E89="","",$L$6+$L$5*D89)</f>
        <v/>
      </c>
      <c r="G89" s="16">
        <f>IF(E89="","",E89-F89)</f>
        <v/>
      </c>
      <c r="H89" s="16">
        <f>IF(E89="","",F89+INDEX($L$9:$L$15,C89))</f>
        <v/>
      </c>
      <c r="I89" s="16">
        <f>IF(E89="","",E89-H89)</f>
        <v/>
      </c>
    </row>
    <row r="90">
      <c r="A90" s="5" t="n"/>
      <c r="B90" s="7" t="n"/>
      <c r="C90">
        <f>IF(A90="","",WEEKDAY(A90,2))</f>
        <v/>
      </c>
      <c r="D90">
        <f>IF(A90="","",A90-MIN($A$5:$A$400)+1)</f>
        <v/>
      </c>
      <c r="E90" s="16">
        <f>IF(OR(A90="",B90&lt;=0),"",LN(B90))</f>
        <v/>
      </c>
      <c r="F90" s="16">
        <f>IF(E90="","",$L$6+$L$5*D90)</f>
        <v/>
      </c>
      <c r="G90" s="16">
        <f>IF(E90="","",E90-F90)</f>
        <v/>
      </c>
      <c r="H90" s="16">
        <f>IF(E90="","",F90+INDEX($L$9:$L$15,C90))</f>
        <v/>
      </c>
      <c r="I90" s="16">
        <f>IF(E90="","",E90-H90)</f>
        <v/>
      </c>
    </row>
    <row r="91">
      <c r="A91" s="5" t="n"/>
      <c r="B91" s="7" t="n"/>
      <c r="C91">
        <f>IF(A91="","",WEEKDAY(A91,2))</f>
        <v/>
      </c>
      <c r="D91">
        <f>IF(A91="","",A91-MIN($A$5:$A$400)+1)</f>
        <v/>
      </c>
      <c r="E91" s="16">
        <f>IF(OR(A91="",B91&lt;=0),"",LN(B91))</f>
        <v/>
      </c>
      <c r="F91" s="16">
        <f>IF(E91="","",$L$6+$L$5*D91)</f>
        <v/>
      </c>
      <c r="G91" s="16">
        <f>IF(E91="","",E91-F91)</f>
        <v/>
      </c>
      <c r="H91" s="16">
        <f>IF(E91="","",F91+INDEX($L$9:$L$15,C91))</f>
        <v/>
      </c>
      <c r="I91" s="16">
        <f>IF(E91="","",E91-H91)</f>
        <v/>
      </c>
    </row>
    <row r="92">
      <c r="A92" s="5" t="n"/>
      <c r="B92" s="7" t="n"/>
      <c r="C92">
        <f>IF(A92="","",WEEKDAY(A92,2))</f>
        <v/>
      </c>
      <c r="D92">
        <f>IF(A92="","",A92-MIN($A$5:$A$400)+1)</f>
        <v/>
      </c>
      <c r="E92" s="16">
        <f>IF(OR(A92="",B92&lt;=0),"",LN(B92))</f>
        <v/>
      </c>
      <c r="F92" s="16">
        <f>IF(E92="","",$L$6+$L$5*D92)</f>
        <v/>
      </c>
      <c r="G92" s="16">
        <f>IF(E92="","",E92-F92)</f>
        <v/>
      </c>
      <c r="H92" s="16">
        <f>IF(E92="","",F92+INDEX($L$9:$L$15,C92))</f>
        <v/>
      </c>
      <c r="I92" s="16">
        <f>IF(E92="","",E92-H92)</f>
        <v/>
      </c>
    </row>
    <row r="93">
      <c r="A93" s="5" t="n"/>
      <c r="B93" s="7" t="n"/>
      <c r="C93">
        <f>IF(A93="","",WEEKDAY(A93,2))</f>
        <v/>
      </c>
      <c r="D93">
        <f>IF(A93="","",A93-MIN($A$5:$A$400)+1)</f>
        <v/>
      </c>
      <c r="E93" s="16">
        <f>IF(OR(A93="",B93&lt;=0),"",LN(B93))</f>
        <v/>
      </c>
      <c r="F93" s="16">
        <f>IF(E93="","",$L$6+$L$5*D93)</f>
        <v/>
      </c>
      <c r="G93" s="16">
        <f>IF(E93="","",E93-F93)</f>
        <v/>
      </c>
      <c r="H93" s="16">
        <f>IF(E93="","",F93+INDEX($L$9:$L$15,C93))</f>
        <v/>
      </c>
      <c r="I93" s="16">
        <f>IF(E93="","",E93-H93)</f>
        <v/>
      </c>
    </row>
    <row r="94">
      <c r="A94" s="5" t="n"/>
      <c r="B94" s="7" t="n"/>
      <c r="C94">
        <f>IF(A94="","",WEEKDAY(A94,2))</f>
        <v/>
      </c>
      <c r="D94">
        <f>IF(A94="","",A94-MIN($A$5:$A$400)+1)</f>
        <v/>
      </c>
      <c r="E94" s="16">
        <f>IF(OR(A94="",B94&lt;=0),"",LN(B94))</f>
        <v/>
      </c>
      <c r="F94" s="16">
        <f>IF(E94="","",$L$6+$L$5*D94)</f>
        <v/>
      </c>
      <c r="G94" s="16">
        <f>IF(E94="","",E94-F94)</f>
        <v/>
      </c>
      <c r="H94" s="16">
        <f>IF(E94="","",F94+INDEX($L$9:$L$15,C94))</f>
        <v/>
      </c>
      <c r="I94" s="16">
        <f>IF(E94="","",E94-H94)</f>
        <v/>
      </c>
    </row>
    <row r="95">
      <c r="A95" s="5" t="n"/>
      <c r="B95" s="7" t="n"/>
      <c r="C95">
        <f>IF(A95="","",WEEKDAY(A95,2))</f>
        <v/>
      </c>
      <c r="D95">
        <f>IF(A95="","",A95-MIN($A$5:$A$400)+1)</f>
        <v/>
      </c>
      <c r="E95" s="16">
        <f>IF(OR(A95="",B95&lt;=0),"",LN(B95))</f>
        <v/>
      </c>
      <c r="F95" s="16">
        <f>IF(E95="","",$L$6+$L$5*D95)</f>
        <v/>
      </c>
      <c r="G95" s="16">
        <f>IF(E95="","",E95-F95)</f>
        <v/>
      </c>
      <c r="H95" s="16">
        <f>IF(E95="","",F95+INDEX($L$9:$L$15,C95))</f>
        <v/>
      </c>
      <c r="I95" s="16">
        <f>IF(E95="","",E95-H95)</f>
        <v/>
      </c>
    </row>
    <row r="96">
      <c r="A96" s="5" t="n"/>
      <c r="B96" s="7" t="n"/>
      <c r="C96">
        <f>IF(A96="","",WEEKDAY(A96,2))</f>
        <v/>
      </c>
      <c r="D96">
        <f>IF(A96="","",A96-MIN($A$5:$A$400)+1)</f>
        <v/>
      </c>
      <c r="E96" s="16">
        <f>IF(OR(A96="",B96&lt;=0),"",LN(B96))</f>
        <v/>
      </c>
      <c r="F96" s="16">
        <f>IF(E96="","",$L$6+$L$5*D96)</f>
        <v/>
      </c>
      <c r="G96" s="16">
        <f>IF(E96="","",E96-F96)</f>
        <v/>
      </c>
      <c r="H96" s="16">
        <f>IF(E96="","",F96+INDEX($L$9:$L$15,C96))</f>
        <v/>
      </c>
      <c r="I96" s="16">
        <f>IF(E96="","",E96-H96)</f>
        <v/>
      </c>
    </row>
    <row r="97">
      <c r="A97" s="5" t="n"/>
      <c r="B97" s="7" t="n"/>
      <c r="C97">
        <f>IF(A97="","",WEEKDAY(A97,2))</f>
        <v/>
      </c>
      <c r="D97">
        <f>IF(A97="","",A97-MIN($A$5:$A$400)+1)</f>
        <v/>
      </c>
      <c r="E97" s="16">
        <f>IF(OR(A97="",B97&lt;=0),"",LN(B97))</f>
        <v/>
      </c>
      <c r="F97" s="16">
        <f>IF(E97="","",$L$6+$L$5*D97)</f>
        <v/>
      </c>
      <c r="G97" s="16">
        <f>IF(E97="","",E97-F97)</f>
        <v/>
      </c>
      <c r="H97" s="16">
        <f>IF(E97="","",F97+INDEX($L$9:$L$15,C97))</f>
        <v/>
      </c>
      <c r="I97" s="16">
        <f>IF(E97="","",E97-H97)</f>
        <v/>
      </c>
    </row>
    <row r="98">
      <c r="A98" s="5" t="n"/>
      <c r="B98" s="7" t="n"/>
      <c r="C98">
        <f>IF(A98="","",WEEKDAY(A98,2))</f>
        <v/>
      </c>
      <c r="D98">
        <f>IF(A98="","",A98-MIN($A$5:$A$400)+1)</f>
        <v/>
      </c>
      <c r="E98" s="16">
        <f>IF(OR(A98="",B98&lt;=0),"",LN(B98))</f>
        <v/>
      </c>
      <c r="F98" s="16">
        <f>IF(E98="","",$L$6+$L$5*D98)</f>
        <v/>
      </c>
      <c r="G98" s="16">
        <f>IF(E98="","",E98-F98)</f>
        <v/>
      </c>
      <c r="H98" s="16">
        <f>IF(E98="","",F98+INDEX($L$9:$L$15,C98))</f>
        <v/>
      </c>
      <c r="I98" s="16">
        <f>IF(E98="","",E98-H98)</f>
        <v/>
      </c>
    </row>
    <row r="99">
      <c r="A99" s="5" t="n"/>
      <c r="B99" s="7" t="n"/>
      <c r="C99">
        <f>IF(A99="","",WEEKDAY(A99,2))</f>
        <v/>
      </c>
      <c r="D99">
        <f>IF(A99="","",A99-MIN($A$5:$A$400)+1)</f>
        <v/>
      </c>
      <c r="E99" s="16">
        <f>IF(OR(A99="",B99&lt;=0),"",LN(B99))</f>
        <v/>
      </c>
      <c r="F99" s="16">
        <f>IF(E99="","",$L$6+$L$5*D99)</f>
        <v/>
      </c>
      <c r="G99" s="16">
        <f>IF(E99="","",E99-F99)</f>
        <v/>
      </c>
      <c r="H99" s="16">
        <f>IF(E99="","",F99+INDEX($L$9:$L$15,C99))</f>
        <v/>
      </c>
      <c r="I99" s="16">
        <f>IF(E99="","",E99-H99)</f>
        <v/>
      </c>
    </row>
    <row r="100">
      <c r="A100" s="5" t="n"/>
      <c r="B100" s="7" t="n"/>
      <c r="C100">
        <f>IF(A100="","",WEEKDAY(A100,2))</f>
        <v/>
      </c>
      <c r="D100">
        <f>IF(A100="","",A100-MIN($A$5:$A$400)+1)</f>
        <v/>
      </c>
      <c r="E100" s="16">
        <f>IF(OR(A100="",B100&lt;=0),"",LN(B100))</f>
        <v/>
      </c>
      <c r="F100" s="16">
        <f>IF(E100="","",$L$6+$L$5*D100)</f>
        <v/>
      </c>
      <c r="G100" s="16">
        <f>IF(E100="","",E100-F100)</f>
        <v/>
      </c>
      <c r="H100" s="16">
        <f>IF(E100="","",F100+INDEX($L$9:$L$15,C100))</f>
        <v/>
      </c>
      <c r="I100" s="16">
        <f>IF(E100="","",E100-H100)</f>
        <v/>
      </c>
    </row>
    <row r="101">
      <c r="A101" s="5" t="n"/>
      <c r="B101" s="7" t="n"/>
      <c r="C101">
        <f>IF(A101="","",WEEKDAY(A101,2))</f>
        <v/>
      </c>
      <c r="D101">
        <f>IF(A101="","",A101-MIN($A$5:$A$400)+1)</f>
        <v/>
      </c>
      <c r="E101" s="16">
        <f>IF(OR(A101="",B101&lt;=0),"",LN(B101))</f>
        <v/>
      </c>
      <c r="F101" s="16">
        <f>IF(E101="","",$L$6+$L$5*D101)</f>
        <v/>
      </c>
      <c r="G101" s="16">
        <f>IF(E101="","",E101-F101)</f>
        <v/>
      </c>
      <c r="H101" s="16">
        <f>IF(E101="","",F101+INDEX($L$9:$L$15,C101))</f>
        <v/>
      </c>
      <c r="I101" s="16">
        <f>IF(E101="","",E101-H101)</f>
        <v/>
      </c>
    </row>
    <row r="102">
      <c r="A102" s="5" t="n"/>
      <c r="B102" s="7" t="n"/>
      <c r="C102">
        <f>IF(A102="","",WEEKDAY(A102,2))</f>
        <v/>
      </c>
      <c r="D102">
        <f>IF(A102="","",A102-MIN($A$5:$A$400)+1)</f>
        <v/>
      </c>
      <c r="E102" s="16">
        <f>IF(OR(A102="",B102&lt;=0),"",LN(B102))</f>
        <v/>
      </c>
      <c r="F102" s="16">
        <f>IF(E102="","",$L$6+$L$5*D102)</f>
        <v/>
      </c>
      <c r="G102" s="16">
        <f>IF(E102="","",E102-F102)</f>
        <v/>
      </c>
      <c r="H102" s="16">
        <f>IF(E102="","",F102+INDEX($L$9:$L$15,C102))</f>
        <v/>
      </c>
      <c r="I102" s="16">
        <f>IF(E102="","",E102-H102)</f>
        <v/>
      </c>
    </row>
    <row r="103">
      <c r="A103" s="5" t="n"/>
      <c r="B103" s="7" t="n"/>
      <c r="C103">
        <f>IF(A103="","",WEEKDAY(A103,2))</f>
        <v/>
      </c>
      <c r="D103">
        <f>IF(A103="","",A103-MIN($A$5:$A$400)+1)</f>
        <v/>
      </c>
      <c r="E103" s="16">
        <f>IF(OR(A103="",B103&lt;=0),"",LN(B103))</f>
        <v/>
      </c>
      <c r="F103" s="16">
        <f>IF(E103="","",$L$6+$L$5*D103)</f>
        <v/>
      </c>
      <c r="G103" s="16">
        <f>IF(E103="","",E103-F103)</f>
        <v/>
      </c>
      <c r="H103" s="16">
        <f>IF(E103="","",F103+INDEX($L$9:$L$15,C103))</f>
        <v/>
      </c>
      <c r="I103" s="16">
        <f>IF(E103="","",E103-H103)</f>
        <v/>
      </c>
    </row>
    <row r="104">
      <c r="A104" s="5" t="n"/>
      <c r="B104" s="7" t="n"/>
      <c r="C104">
        <f>IF(A104="","",WEEKDAY(A104,2))</f>
        <v/>
      </c>
      <c r="D104">
        <f>IF(A104="","",A104-MIN($A$5:$A$400)+1)</f>
        <v/>
      </c>
      <c r="E104" s="16">
        <f>IF(OR(A104="",B104&lt;=0),"",LN(B104))</f>
        <v/>
      </c>
      <c r="F104" s="16">
        <f>IF(E104="","",$L$6+$L$5*D104)</f>
        <v/>
      </c>
      <c r="G104" s="16">
        <f>IF(E104="","",E104-F104)</f>
        <v/>
      </c>
      <c r="H104" s="16">
        <f>IF(E104="","",F104+INDEX($L$9:$L$15,C104))</f>
        <v/>
      </c>
      <c r="I104" s="16">
        <f>IF(E104="","",E104-H104)</f>
        <v/>
      </c>
    </row>
    <row r="105">
      <c r="A105" s="5" t="n"/>
      <c r="B105" s="7" t="n"/>
      <c r="C105">
        <f>IF(A105="","",WEEKDAY(A105,2))</f>
        <v/>
      </c>
      <c r="D105">
        <f>IF(A105="","",A105-MIN($A$5:$A$400)+1)</f>
        <v/>
      </c>
      <c r="E105" s="16">
        <f>IF(OR(A105="",B105&lt;=0),"",LN(B105))</f>
        <v/>
      </c>
      <c r="F105" s="16">
        <f>IF(E105="","",$L$6+$L$5*D105)</f>
        <v/>
      </c>
      <c r="G105" s="16">
        <f>IF(E105="","",E105-F105)</f>
        <v/>
      </c>
      <c r="H105" s="16">
        <f>IF(E105="","",F105+INDEX($L$9:$L$15,C105))</f>
        <v/>
      </c>
      <c r="I105" s="16">
        <f>IF(E105="","",E105-H105)</f>
        <v/>
      </c>
    </row>
    <row r="106">
      <c r="A106" s="5" t="n"/>
      <c r="B106" s="7" t="n"/>
      <c r="C106">
        <f>IF(A106="","",WEEKDAY(A106,2))</f>
        <v/>
      </c>
      <c r="D106">
        <f>IF(A106="","",A106-MIN($A$5:$A$400)+1)</f>
        <v/>
      </c>
      <c r="E106" s="16">
        <f>IF(OR(A106="",B106&lt;=0),"",LN(B106))</f>
        <v/>
      </c>
      <c r="F106" s="16">
        <f>IF(E106="","",$L$6+$L$5*D106)</f>
        <v/>
      </c>
      <c r="G106" s="16">
        <f>IF(E106="","",E106-F106)</f>
        <v/>
      </c>
      <c r="H106" s="16">
        <f>IF(E106="","",F106+INDEX($L$9:$L$15,C106))</f>
        <v/>
      </c>
      <c r="I106" s="16">
        <f>IF(E106="","",E106-H106)</f>
        <v/>
      </c>
    </row>
    <row r="107">
      <c r="A107" s="5" t="n"/>
      <c r="B107" s="7" t="n"/>
      <c r="C107">
        <f>IF(A107="","",WEEKDAY(A107,2))</f>
        <v/>
      </c>
      <c r="D107">
        <f>IF(A107="","",A107-MIN($A$5:$A$400)+1)</f>
        <v/>
      </c>
      <c r="E107" s="16">
        <f>IF(OR(A107="",B107&lt;=0),"",LN(B107))</f>
        <v/>
      </c>
      <c r="F107" s="16">
        <f>IF(E107="","",$L$6+$L$5*D107)</f>
        <v/>
      </c>
      <c r="G107" s="16">
        <f>IF(E107="","",E107-F107)</f>
        <v/>
      </c>
      <c r="H107" s="16">
        <f>IF(E107="","",F107+INDEX($L$9:$L$15,C107))</f>
        <v/>
      </c>
      <c r="I107" s="16">
        <f>IF(E107="","",E107-H107)</f>
        <v/>
      </c>
    </row>
    <row r="108">
      <c r="A108" s="5" t="n"/>
      <c r="B108" s="7" t="n"/>
      <c r="C108">
        <f>IF(A108="","",WEEKDAY(A108,2))</f>
        <v/>
      </c>
      <c r="D108">
        <f>IF(A108="","",A108-MIN($A$5:$A$400)+1)</f>
        <v/>
      </c>
      <c r="E108" s="16">
        <f>IF(OR(A108="",B108&lt;=0),"",LN(B108))</f>
        <v/>
      </c>
      <c r="F108" s="16">
        <f>IF(E108="","",$L$6+$L$5*D108)</f>
        <v/>
      </c>
      <c r="G108" s="16">
        <f>IF(E108="","",E108-F108)</f>
        <v/>
      </c>
      <c r="H108" s="16">
        <f>IF(E108="","",F108+INDEX($L$9:$L$15,C108))</f>
        <v/>
      </c>
      <c r="I108" s="16">
        <f>IF(E108="","",E108-H108)</f>
        <v/>
      </c>
    </row>
    <row r="109">
      <c r="A109" s="5" t="n"/>
      <c r="B109" s="7" t="n"/>
      <c r="C109">
        <f>IF(A109="","",WEEKDAY(A109,2))</f>
        <v/>
      </c>
      <c r="D109">
        <f>IF(A109="","",A109-MIN($A$5:$A$400)+1)</f>
        <v/>
      </c>
      <c r="E109" s="16">
        <f>IF(OR(A109="",B109&lt;=0),"",LN(B109))</f>
        <v/>
      </c>
      <c r="F109" s="16">
        <f>IF(E109="","",$L$6+$L$5*D109)</f>
        <v/>
      </c>
      <c r="G109" s="16">
        <f>IF(E109="","",E109-F109)</f>
        <v/>
      </c>
      <c r="H109" s="16">
        <f>IF(E109="","",F109+INDEX($L$9:$L$15,C109))</f>
        <v/>
      </c>
      <c r="I109" s="16">
        <f>IF(E109="","",E109-H109)</f>
        <v/>
      </c>
    </row>
    <row r="110">
      <c r="A110" s="5" t="n"/>
      <c r="B110" s="7" t="n"/>
      <c r="C110">
        <f>IF(A110="","",WEEKDAY(A110,2))</f>
        <v/>
      </c>
      <c r="D110">
        <f>IF(A110="","",A110-MIN($A$5:$A$400)+1)</f>
        <v/>
      </c>
      <c r="E110" s="16">
        <f>IF(OR(A110="",B110&lt;=0),"",LN(B110))</f>
        <v/>
      </c>
      <c r="F110" s="16">
        <f>IF(E110="","",$L$6+$L$5*D110)</f>
        <v/>
      </c>
      <c r="G110" s="16">
        <f>IF(E110="","",E110-F110)</f>
        <v/>
      </c>
      <c r="H110" s="16">
        <f>IF(E110="","",F110+INDEX($L$9:$L$15,C110))</f>
        <v/>
      </c>
      <c r="I110" s="16">
        <f>IF(E110="","",E110-H110)</f>
        <v/>
      </c>
    </row>
    <row r="111">
      <c r="A111" s="5" t="n"/>
      <c r="B111" s="7" t="n"/>
      <c r="C111">
        <f>IF(A111="","",WEEKDAY(A111,2))</f>
        <v/>
      </c>
      <c r="D111">
        <f>IF(A111="","",A111-MIN($A$5:$A$400)+1)</f>
        <v/>
      </c>
      <c r="E111" s="16">
        <f>IF(OR(A111="",B111&lt;=0),"",LN(B111))</f>
        <v/>
      </c>
      <c r="F111" s="16">
        <f>IF(E111="","",$L$6+$L$5*D111)</f>
        <v/>
      </c>
      <c r="G111" s="16">
        <f>IF(E111="","",E111-F111)</f>
        <v/>
      </c>
      <c r="H111" s="16">
        <f>IF(E111="","",F111+INDEX($L$9:$L$15,C111))</f>
        <v/>
      </c>
      <c r="I111" s="16">
        <f>IF(E111="","",E111-H111)</f>
        <v/>
      </c>
    </row>
    <row r="112">
      <c r="A112" s="5" t="n"/>
      <c r="B112" s="7" t="n"/>
      <c r="C112">
        <f>IF(A112="","",WEEKDAY(A112,2))</f>
        <v/>
      </c>
      <c r="D112">
        <f>IF(A112="","",A112-MIN($A$5:$A$400)+1)</f>
        <v/>
      </c>
      <c r="E112" s="16">
        <f>IF(OR(A112="",B112&lt;=0),"",LN(B112))</f>
        <v/>
      </c>
      <c r="F112" s="16">
        <f>IF(E112="","",$L$6+$L$5*D112)</f>
        <v/>
      </c>
      <c r="G112" s="16">
        <f>IF(E112="","",E112-F112)</f>
        <v/>
      </c>
      <c r="H112" s="16">
        <f>IF(E112="","",F112+INDEX($L$9:$L$15,C112))</f>
        <v/>
      </c>
      <c r="I112" s="16">
        <f>IF(E112="","",E112-H112)</f>
        <v/>
      </c>
    </row>
    <row r="113">
      <c r="A113" s="5" t="n"/>
      <c r="B113" s="7" t="n"/>
      <c r="C113">
        <f>IF(A113="","",WEEKDAY(A113,2))</f>
        <v/>
      </c>
      <c r="D113">
        <f>IF(A113="","",A113-MIN($A$5:$A$400)+1)</f>
        <v/>
      </c>
      <c r="E113" s="16">
        <f>IF(OR(A113="",B113&lt;=0),"",LN(B113))</f>
        <v/>
      </c>
      <c r="F113" s="16">
        <f>IF(E113="","",$L$6+$L$5*D113)</f>
        <v/>
      </c>
      <c r="G113" s="16">
        <f>IF(E113="","",E113-F113)</f>
        <v/>
      </c>
      <c r="H113" s="16">
        <f>IF(E113="","",F113+INDEX($L$9:$L$15,C113))</f>
        <v/>
      </c>
      <c r="I113" s="16">
        <f>IF(E113="","",E113-H113)</f>
        <v/>
      </c>
    </row>
    <row r="114">
      <c r="A114" s="5" t="n"/>
      <c r="B114" s="7" t="n"/>
      <c r="C114">
        <f>IF(A114="","",WEEKDAY(A114,2))</f>
        <v/>
      </c>
      <c r="D114">
        <f>IF(A114="","",A114-MIN($A$5:$A$400)+1)</f>
        <v/>
      </c>
      <c r="E114" s="16">
        <f>IF(OR(A114="",B114&lt;=0),"",LN(B114))</f>
        <v/>
      </c>
      <c r="F114" s="16">
        <f>IF(E114="","",$L$6+$L$5*D114)</f>
        <v/>
      </c>
      <c r="G114" s="16">
        <f>IF(E114="","",E114-F114)</f>
        <v/>
      </c>
      <c r="H114" s="16">
        <f>IF(E114="","",F114+INDEX($L$9:$L$15,C114))</f>
        <v/>
      </c>
      <c r="I114" s="16">
        <f>IF(E114="","",E114-H114)</f>
        <v/>
      </c>
    </row>
    <row r="115">
      <c r="A115" s="5" t="n"/>
      <c r="B115" s="7" t="n"/>
      <c r="C115">
        <f>IF(A115="","",WEEKDAY(A115,2))</f>
        <v/>
      </c>
      <c r="D115">
        <f>IF(A115="","",A115-MIN($A$5:$A$400)+1)</f>
        <v/>
      </c>
      <c r="E115" s="16">
        <f>IF(OR(A115="",B115&lt;=0),"",LN(B115))</f>
        <v/>
      </c>
      <c r="F115" s="16">
        <f>IF(E115="","",$L$6+$L$5*D115)</f>
        <v/>
      </c>
      <c r="G115" s="16">
        <f>IF(E115="","",E115-F115)</f>
        <v/>
      </c>
      <c r="H115" s="16">
        <f>IF(E115="","",F115+INDEX($L$9:$L$15,C115))</f>
        <v/>
      </c>
      <c r="I115" s="16">
        <f>IF(E115="","",E115-H115)</f>
        <v/>
      </c>
    </row>
    <row r="116">
      <c r="A116" s="5" t="n"/>
      <c r="B116" s="7" t="n"/>
      <c r="C116">
        <f>IF(A116="","",WEEKDAY(A116,2))</f>
        <v/>
      </c>
      <c r="D116">
        <f>IF(A116="","",A116-MIN($A$5:$A$400)+1)</f>
        <v/>
      </c>
      <c r="E116" s="16">
        <f>IF(OR(A116="",B116&lt;=0),"",LN(B116))</f>
        <v/>
      </c>
      <c r="F116" s="16">
        <f>IF(E116="","",$L$6+$L$5*D116)</f>
        <v/>
      </c>
      <c r="G116" s="16">
        <f>IF(E116="","",E116-F116)</f>
        <v/>
      </c>
      <c r="H116" s="16">
        <f>IF(E116="","",F116+INDEX($L$9:$L$15,C116))</f>
        <v/>
      </c>
      <c r="I116" s="16">
        <f>IF(E116="","",E116-H116)</f>
        <v/>
      </c>
    </row>
    <row r="117">
      <c r="A117" s="5" t="n"/>
      <c r="B117" s="7" t="n"/>
      <c r="C117">
        <f>IF(A117="","",WEEKDAY(A117,2))</f>
        <v/>
      </c>
      <c r="D117">
        <f>IF(A117="","",A117-MIN($A$5:$A$400)+1)</f>
        <v/>
      </c>
      <c r="E117" s="16">
        <f>IF(OR(A117="",B117&lt;=0),"",LN(B117))</f>
        <v/>
      </c>
      <c r="F117" s="16">
        <f>IF(E117="","",$L$6+$L$5*D117)</f>
        <v/>
      </c>
      <c r="G117" s="16">
        <f>IF(E117="","",E117-F117)</f>
        <v/>
      </c>
      <c r="H117" s="16">
        <f>IF(E117="","",F117+INDEX($L$9:$L$15,C117))</f>
        <v/>
      </c>
      <c r="I117" s="16">
        <f>IF(E117="","",E117-H117)</f>
        <v/>
      </c>
    </row>
    <row r="118">
      <c r="A118" s="5" t="n"/>
      <c r="B118" s="7" t="n"/>
      <c r="C118">
        <f>IF(A118="","",WEEKDAY(A118,2))</f>
        <v/>
      </c>
      <c r="D118">
        <f>IF(A118="","",A118-MIN($A$5:$A$400)+1)</f>
        <v/>
      </c>
      <c r="E118" s="16">
        <f>IF(OR(A118="",B118&lt;=0),"",LN(B118))</f>
        <v/>
      </c>
      <c r="F118" s="16">
        <f>IF(E118="","",$L$6+$L$5*D118)</f>
        <v/>
      </c>
      <c r="G118" s="16">
        <f>IF(E118="","",E118-F118)</f>
        <v/>
      </c>
      <c r="H118" s="16">
        <f>IF(E118="","",F118+INDEX($L$9:$L$15,C118))</f>
        <v/>
      </c>
      <c r="I118" s="16">
        <f>IF(E118="","",E118-H118)</f>
        <v/>
      </c>
    </row>
    <row r="119">
      <c r="A119" s="5" t="n"/>
      <c r="B119" s="7" t="n"/>
      <c r="C119">
        <f>IF(A119="","",WEEKDAY(A119,2))</f>
        <v/>
      </c>
      <c r="D119">
        <f>IF(A119="","",A119-MIN($A$5:$A$400)+1)</f>
        <v/>
      </c>
      <c r="E119" s="16">
        <f>IF(OR(A119="",B119&lt;=0),"",LN(B119))</f>
        <v/>
      </c>
      <c r="F119" s="16">
        <f>IF(E119="","",$L$6+$L$5*D119)</f>
        <v/>
      </c>
      <c r="G119" s="16">
        <f>IF(E119="","",E119-F119)</f>
        <v/>
      </c>
      <c r="H119" s="16">
        <f>IF(E119="","",F119+INDEX($L$9:$L$15,C119))</f>
        <v/>
      </c>
      <c r="I119" s="16">
        <f>IF(E119="","",E119-H119)</f>
        <v/>
      </c>
    </row>
    <row r="120">
      <c r="A120" s="5" t="n"/>
      <c r="B120" s="7" t="n"/>
      <c r="C120">
        <f>IF(A120="","",WEEKDAY(A120,2))</f>
        <v/>
      </c>
      <c r="D120">
        <f>IF(A120="","",A120-MIN($A$5:$A$400)+1)</f>
        <v/>
      </c>
      <c r="E120" s="16">
        <f>IF(OR(A120="",B120&lt;=0),"",LN(B120))</f>
        <v/>
      </c>
      <c r="F120" s="16">
        <f>IF(E120="","",$L$6+$L$5*D120)</f>
        <v/>
      </c>
      <c r="G120" s="16">
        <f>IF(E120="","",E120-F120)</f>
        <v/>
      </c>
      <c r="H120" s="16">
        <f>IF(E120="","",F120+INDEX($L$9:$L$15,C120))</f>
        <v/>
      </c>
      <c r="I120" s="16">
        <f>IF(E120="","",E120-H120)</f>
        <v/>
      </c>
    </row>
    <row r="121">
      <c r="A121" s="5" t="n"/>
      <c r="B121" s="7" t="n"/>
      <c r="C121">
        <f>IF(A121="","",WEEKDAY(A121,2))</f>
        <v/>
      </c>
      <c r="D121">
        <f>IF(A121="","",A121-MIN($A$5:$A$400)+1)</f>
        <v/>
      </c>
      <c r="E121" s="16">
        <f>IF(OR(A121="",B121&lt;=0),"",LN(B121))</f>
        <v/>
      </c>
      <c r="F121" s="16">
        <f>IF(E121="","",$L$6+$L$5*D121)</f>
        <v/>
      </c>
      <c r="G121" s="16">
        <f>IF(E121="","",E121-F121)</f>
        <v/>
      </c>
      <c r="H121" s="16">
        <f>IF(E121="","",F121+INDEX($L$9:$L$15,C121))</f>
        <v/>
      </c>
      <c r="I121" s="16">
        <f>IF(E121="","",E121-H121)</f>
        <v/>
      </c>
    </row>
    <row r="122">
      <c r="A122" s="5" t="n"/>
      <c r="B122" s="7" t="n"/>
      <c r="C122">
        <f>IF(A122="","",WEEKDAY(A122,2))</f>
        <v/>
      </c>
      <c r="D122">
        <f>IF(A122="","",A122-MIN($A$5:$A$400)+1)</f>
        <v/>
      </c>
      <c r="E122" s="16">
        <f>IF(OR(A122="",B122&lt;=0),"",LN(B122))</f>
        <v/>
      </c>
      <c r="F122" s="16">
        <f>IF(E122="","",$L$6+$L$5*D122)</f>
        <v/>
      </c>
      <c r="G122" s="16">
        <f>IF(E122="","",E122-F122)</f>
        <v/>
      </c>
      <c r="H122" s="16">
        <f>IF(E122="","",F122+INDEX($L$9:$L$15,C122))</f>
        <v/>
      </c>
      <c r="I122" s="16">
        <f>IF(E122="","",E122-H122)</f>
        <v/>
      </c>
    </row>
    <row r="123">
      <c r="A123" s="5" t="n"/>
      <c r="B123" s="7" t="n"/>
      <c r="C123">
        <f>IF(A123="","",WEEKDAY(A123,2))</f>
        <v/>
      </c>
      <c r="D123">
        <f>IF(A123="","",A123-MIN($A$5:$A$400)+1)</f>
        <v/>
      </c>
      <c r="E123" s="16">
        <f>IF(OR(A123="",B123&lt;=0),"",LN(B123))</f>
        <v/>
      </c>
      <c r="F123" s="16">
        <f>IF(E123="","",$L$6+$L$5*D123)</f>
        <v/>
      </c>
      <c r="G123" s="16">
        <f>IF(E123="","",E123-F123)</f>
        <v/>
      </c>
      <c r="H123" s="16">
        <f>IF(E123="","",F123+INDEX($L$9:$L$15,C123))</f>
        <v/>
      </c>
      <c r="I123" s="16">
        <f>IF(E123="","",E123-H123)</f>
        <v/>
      </c>
    </row>
    <row r="124">
      <c r="A124" s="5" t="n"/>
      <c r="B124" s="7" t="n"/>
      <c r="C124">
        <f>IF(A124="","",WEEKDAY(A124,2))</f>
        <v/>
      </c>
      <c r="D124">
        <f>IF(A124="","",A124-MIN($A$5:$A$400)+1)</f>
        <v/>
      </c>
      <c r="E124" s="16">
        <f>IF(OR(A124="",B124&lt;=0),"",LN(B124))</f>
        <v/>
      </c>
      <c r="F124" s="16">
        <f>IF(E124="","",$L$6+$L$5*D124)</f>
        <v/>
      </c>
      <c r="G124" s="16">
        <f>IF(E124="","",E124-F124)</f>
        <v/>
      </c>
      <c r="H124" s="16">
        <f>IF(E124="","",F124+INDEX($L$9:$L$15,C124))</f>
        <v/>
      </c>
      <c r="I124" s="16">
        <f>IF(E124="","",E124-H124)</f>
        <v/>
      </c>
    </row>
    <row r="125">
      <c r="A125" s="5" t="n"/>
      <c r="B125" s="7" t="n"/>
      <c r="C125">
        <f>IF(A125="","",WEEKDAY(A125,2))</f>
        <v/>
      </c>
      <c r="D125">
        <f>IF(A125="","",A125-MIN($A$5:$A$400)+1)</f>
        <v/>
      </c>
      <c r="E125" s="16">
        <f>IF(OR(A125="",B125&lt;=0),"",LN(B125))</f>
        <v/>
      </c>
      <c r="F125" s="16">
        <f>IF(E125="","",$L$6+$L$5*D125)</f>
        <v/>
      </c>
      <c r="G125" s="16">
        <f>IF(E125="","",E125-F125)</f>
        <v/>
      </c>
      <c r="H125" s="16">
        <f>IF(E125="","",F125+INDEX($L$9:$L$15,C125))</f>
        <v/>
      </c>
      <c r="I125" s="16">
        <f>IF(E125="","",E125-H125)</f>
        <v/>
      </c>
    </row>
    <row r="126">
      <c r="A126" s="5" t="n"/>
      <c r="B126" s="7" t="n"/>
      <c r="C126">
        <f>IF(A126="","",WEEKDAY(A126,2))</f>
        <v/>
      </c>
      <c r="D126">
        <f>IF(A126="","",A126-MIN($A$5:$A$400)+1)</f>
        <v/>
      </c>
      <c r="E126" s="16">
        <f>IF(OR(A126="",B126&lt;=0),"",LN(B126))</f>
        <v/>
      </c>
      <c r="F126" s="16">
        <f>IF(E126="","",$L$6+$L$5*D126)</f>
        <v/>
      </c>
      <c r="G126" s="16">
        <f>IF(E126="","",E126-F126)</f>
        <v/>
      </c>
      <c r="H126" s="16">
        <f>IF(E126="","",F126+INDEX($L$9:$L$15,C126))</f>
        <v/>
      </c>
      <c r="I126" s="16">
        <f>IF(E126="","",E126-H126)</f>
        <v/>
      </c>
    </row>
    <row r="127">
      <c r="A127" s="5" t="n"/>
      <c r="B127" s="7" t="n"/>
      <c r="C127">
        <f>IF(A127="","",WEEKDAY(A127,2))</f>
        <v/>
      </c>
      <c r="D127">
        <f>IF(A127="","",A127-MIN($A$5:$A$400)+1)</f>
        <v/>
      </c>
      <c r="E127" s="16">
        <f>IF(OR(A127="",B127&lt;=0),"",LN(B127))</f>
        <v/>
      </c>
      <c r="F127" s="16">
        <f>IF(E127="","",$L$6+$L$5*D127)</f>
        <v/>
      </c>
      <c r="G127" s="16">
        <f>IF(E127="","",E127-F127)</f>
        <v/>
      </c>
      <c r="H127" s="16">
        <f>IF(E127="","",F127+INDEX($L$9:$L$15,C127))</f>
        <v/>
      </c>
      <c r="I127" s="16">
        <f>IF(E127="","",E127-H127)</f>
        <v/>
      </c>
    </row>
    <row r="128">
      <c r="A128" s="5" t="n"/>
      <c r="B128" s="7" t="n"/>
      <c r="C128">
        <f>IF(A128="","",WEEKDAY(A128,2))</f>
        <v/>
      </c>
      <c r="D128">
        <f>IF(A128="","",A128-MIN($A$5:$A$400)+1)</f>
        <v/>
      </c>
      <c r="E128" s="16">
        <f>IF(OR(A128="",B128&lt;=0),"",LN(B128))</f>
        <v/>
      </c>
      <c r="F128" s="16">
        <f>IF(E128="","",$L$6+$L$5*D128)</f>
        <v/>
      </c>
      <c r="G128" s="16">
        <f>IF(E128="","",E128-F128)</f>
        <v/>
      </c>
      <c r="H128" s="16">
        <f>IF(E128="","",F128+INDEX($L$9:$L$15,C128))</f>
        <v/>
      </c>
      <c r="I128" s="16">
        <f>IF(E128="","",E128-H128)</f>
        <v/>
      </c>
    </row>
    <row r="129">
      <c r="A129" s="5" t="n"/>
      <c r="B129" s="7" t="n"/>
      <c r="C129">
        <f>IF(A129="","",WEEKDAY(A129,2))</f>
        <v/>
      </c>
      <c r="D129">
        <f>IF(A129="","",A129-MIN($A$5:$A$400)+1)</f>
        <v/>
      </c>
      <c r="E129" s="16">
        <f>IF(OR(A129="",B129&lt;=0),"",LN(B129))</f>
        <v/>
      </c>
      <c r="F129" s="16">
        <f>IF(E129="","",$L$6+$L$5*D129)</f>
        <v/>
      </c>
      <c r="G129" s="16">
        <f>IF(E129="","",E129-F129)</f>
        <v/>
      </c>
      <c r="H129" s="16">
        <f>IF(E129="","",F129+INDEX($L$9:$L$15,C129))</f>
        <v/>
      </c>
      <c r="I129" s="16">
        <f>IF(E129="","",E129-H129)</f>
        <v/>
      </c>
    </row>
    <row r="130">
      <c r="A130" s="5" t="n"/>
      <c r="B130" s="7" t="n"/>
      <c r="C130">
        <f>IF(A130="","",WEEKDAY(A130,2))</f>
        <v/>
      </c>
      <c r="D130">
        <f>IF(A130="","",A130-MIN($A$5:$A$400)+1)</f>
        <v/>
      </c>
      <c r="E130" s="16">
        <f>IF(OR(A130="",B130&lt;=0),"",LN(B130))</f>
        <v/>
      </c>
      <c r="F130" s="16">
        <f>IF(E130="","",$L$6+$L$5*D130)</f>
        <v/>
      </c>
      <c r="G130" s="16">
        <f>IF(E130="","",E130-F130)</f>
        <v/>
      </c>
      <c r="H130" s="16">
        <f>IF(E130="","",F130+INDEX($L$9:$L$15,C130))</f>
        <v/>
      </c>
      <c r="I130" s="16">
        <f>IF(E130="","",E130-H130)</f>
        <v/>
      </c>
    </row>
    <row r="131">
      <c r="A131" s="5" t="n"/>
      <c r="B131" s="7" t="n"/>
      <c r="C131">
        <f>IF(A131="","",WEEKDAY(A131,2))</f>
        <v/>
      </c>
      <c r="D131">
        <f>IF(A131="","",A131-MIN($A$5:$A$400)+1)</f>
        <v/>
      </c>
      <c r="E131" s="16">
        <f>IF(OR(A131="",B131&lt;=0),"",LN(B131))</f>
        <v/>
      </c>
      <c r="F131" s="16">
        <f>IF(E131="","",$L$6+$L$5*D131)</f>
        <v/>
      </c>
      <c r="G131" s="16">
        <f>IF(E131="","",E131-F131)</f>
        <v/>
      </c>
      <c r="H131" s="16">
        <f>IF(E131="","",F131+INDEX($L$9:$L$15,C131))</f>
        <v/>
      </c>
      <c r="I131" s="16">
        <f>IF(E131="","",E131-H131)</f>
        <v/>
      </c>
    </row>
    <row r="132">
      <c r="A132" s="5" t="n"/>
      <c r="B132" s="7" t="n"/>
      <c r="C132">
        <f>IF(A132="","",WEEKDAY(A132,2))</f>
        <v/>
      </c>
      <c r="D132">
        <f>IF(A132="","",A132-MIN($A$5:$A$400)+1)</f>
        <v/>
      </c>
      <c r="E132" s="16">
        <f>IF(OR(A132="",B132&lt;=0),"",LN(B132))</f>
        <v/>
      </c>
      <c r="F132" s="16">
        <f>IF(E132="","",$L$6+$L$5*D132)</f>
        <v/>
      </c>
      <c r="G132" s="16">
        <f>IF(E132="","",E132-F132)</f>
        <v/>
      </c>
      <c r="H132" s="16">
        <f>IF(E132="","",F132+INDEX($L$9:$L$15,C132))</f>
        <v/>
      </c>
      <c r="I132" s="16">
        <f>IF(E132="","",E132-H132)</f>
        <v/>
      </c>
    </row>
    <row r="133">
      <c r="A133" s="5" t="n"/>
      <c r="B133" s="7" t="n"/>
      <c r="C133">
        <f>IF(A133="","",WEEKDAY(A133,2))</f>
        <v/>
      </c>
      <c r="D133">
        <f>IF(A133="","",A133-MIN($A$5:$A$400)+1)</f>
        <v/>
      </c>
      <c r="E133" s="16">
        <f>IF(OR(A133="",B133&lt;=0),"",LN(B133))</f>
        <v/>
      </c>
      <c r="F133" s="16">
        <f>IF(E133="","",$L$6+$L$5*D133)</f>
        <v/>
      </c>
      <c r="G133" s="16">
        <f>IF(E133="","",E133-F133)</f>
        <v/>
      </c>
      <c r="H133" s="16">
        <f>IF(E133="","",F133+INDEX($L$9:$L$15,C133))</f>
        <v/>
      </c>
      <c r="I133" s="16">
        <f>IF(E133="","",E133-H133)</f>
        <v/>
      </c>
    </row>
    <row r="134">
      <c r="A134" s="5" t="n"/>
      <c r="B134" s="7" t="n"/>
      <c r="C134">
        <f>IF(A134="","",WEEKDAY(A134,2))</f>
        <v/>
      </c>
      <c r="D134">
        <f>IF(A134="","",A134-MIN($A$5:$A$400)+1)</f>
        <v/>
      </c>
      <c r="E134" s="16">
        <f>IF(OR(A134="",B134&lt;=0),"",LN(B134))</f>
        <v/>
      </c>
      <c r="F134" s="16">
        <f>IF(E134="","",$L$6+$L$5*D134)</f>
        <v/>
      </c>
      <c r="G134" s="16">
        <f>IF(E134="","",E134-F134)</f>
        <v/>
      </c>
      <c r="H134" s="16">
        <f>IF(E134="","",F134+INDEX($L$9:$L$15,C134))</f>
        <v/>
      </c>
      <c r="I134" s="16">
        <f>IF(E134="","",E134-H134)</f>
        <v/>
      </c>
    </row>
    <row r="135">
      <c r="A135" s="5" t="n"/>
      <c r="B135" s="7" t="n"/>
      <c r="C135">
        <f>IF(A135="","",WEEKDAY(A135,2))</f>
        <v/>
      </c>
      <c r="D135">
        <f>IF(A135="","",A135-MIN($A$5:$A$400)+1)</f>
        <v/>
      </c>
      <c r="E135" s="16">
        <f>IF(OR(A135="",B135&lt;=0),"",LN(B135))</f>
        <v/>
      </c>
      <c r="F135" s="16">
        <f>IF(E135="","",$L$6+$L$5*D135)</f>
        <v/>
      </c>
      <c r="G135" s="16">
        <f>IF(E135="","",E135-F135)</f>
        <v/>
      </c>
      <c r="H135" s="16">
        <f>IF(E135="","",F135+INDEX($L$9:$L$15,C135))</f>
        <v/>
      </c>
      <c r="I135" s="16">
        <f>IF(E135="","",E135-H135)</f>
        <v/>
      </c>
    </row>
    <row r="136">
      <c r="A136" s="5" t="n"/>
      <c r="B136" s="7" t="n"/>
      <c r="C136">
        <f>IF(A136="","",WEEKDAY(A136,2))</f>
        <v/>
      </c>
      <c r="D136">
        <f>IF(A136="","",A136-MIN($A$5:$A$400)+1)</f>
        <v/>
      </c>
      <c r="E136" s="16">
        <f>IF(OR(A136="",B136&lt;=0),"",LN(B136))</f>
        <v/>
      </c>
      <c r="F136" s="16">
        <f>IF(E136="","",$L$6+$L$5*D136)</f>
        <v/>
      </c>
      <c r="G136" s="16">
        <f>IF(E136="","",E136-F136)</f>
        <v/>
      </c>
      <c r="H136" s="16">
        <f>IF(E136="","",F136+INDEX($L$9:$L$15,C136))</f>
        <v/>
      </c>
      <c r="I136" s="16">
        <f>IF(E136="","",E136-H136)</f>
        <v/>
      </c>
    </row>
    <row r="137">
      <c r="A137" s="5" t="n"/>
      <c r="B137" s="7" t="n"/>
      <c r="C137">
        <f>IF(A137="","",WEEKDAY(A137,2))</f>
        <v/>
      </c>
      <c r="D137">
        <f>IF(A137="","",A137-MIN($A$5:$A$400)+1)</f>
        <v/>
      </c>
      <c r="E137" s="16">
        <f>IF(OR(A137="",B137&lt;=0),"",LN(B137))</f>
        <v/>
      </c>
      <c r="F137" s="16">
        <f>IF(E137="","",$L$6+$L$5*D137)</f>
        <v/>
      </c>
      <c r="G137" s="16">
        <f>IF(E137="","",E137-F137)</f>
        <v/>
      </c>
      <c r="H137" s="16">
        <f>IF(E137="","",F137+INDEX($L$9:$L$15,C137))</f>
        <v/>
      </c>
      <c r="I137" s="16">
        <f>IF(E137="","",E137-H137)</f>
        <v/>
      </c>
    </row>
    <row r="138">
      <c r="A138" s="5" t="n"/>
      <c r="B138" s="7" t="n"/>
      <c r="C138">
        <f>IF(A138="","",WEEKDAY(A138,2))</f>
        <v/>
      </c>
      <c r="D138">
        <f>IF(A138="","",A138-MIN($A$5:$A$400)+1)</f>
        <v/>
      </c>
      <c r="E138" s="16">
        <f>IF(OR(A138="",B138&lt;=0),"",LN(B138))</f>
        <v/>
      </c>
      <c r="F138" s="16">
        <f>IF(E138="","",$L$6+$L$5*D138)</f>
        <v/>
      </c>
      <c r="G138" s="16">
        <f>IF(E138="","",E138-F138)</f>
        <v/>
      </c>
      <c r="H138" s="16">
        <f>IF(E138="","",F138+INDEX($L$9:$L$15,C138))</f>
        <v/>
      </c>
      <c r="I138" s="16">
        <f>IF(E138="","",E138-H138)</f>
        <v/>
      </c>
    </row>
    <row r="139">
      <c r="A139" s="5" t="n"/>
      <c r="B139" s="7" t="n"/>
      <c r="C139">
        <f>IF(A139="","",WEEKDAY(A139,2))</f>
        <v/>
      </c>
      <c r="D139">
        <f>IF(A139="","",A139-MIN($A$5:$A$400)+1)</f>
        <v/>
      </c>
      <c r="E139" s="16">
        <f>IF(OR(A139="",B139&lt;=0),"",LN(B139))</f>
        <v/>
      </c>
      <c r="F139" s="16">
        <f>IF(E139="","",$L$6+$L$5*D139)</f>
        <v/>
      </c>
      <c r="G139" s="16">
        <f>IF(E139="","",E139-F139)</f>
        <v/>
      </c>
      <c r="H139" s="16">
        <f>IF(E139="","",F139+INDEX($L$9:$L$15,C139))</f>
        <v/>
      </c>
      <c r="I139" s="16">
        <f>IF(E139="","",E139-H139)</f>
        <v/>
      </c>
    </row>
    <row r="140">
      <c r="A140" s="5" t="n"/>
      <c r="B140" s="7" t="n"/>
      <c r="C140">
        <f>IF(A140="","",WEEKDAY(A140,2))</f>
        <v/>
      </c>
      <c r="D140">
        <f>IF(A140="","",A140-MIN($A$5:$A$400)+1)</f>
        <v/>
      </c>
      <c r="E140" s="16">
        <f>IF(OR(A140="",B140&lt;=0),"",LN(B140))</f>
        <v/>
      </c>
      <c r="F140" s="16">
        <f>IF(E140="","",$L$6+$L$5*D140)</f>
        <v/>
      </c>
      <c r="G140" s="16">
        <f>IF(E140="","",E140-F140)</f>
        <v/>
      </c>
      <c r="H140" s="16">
        <f>IF(E140="","",F140+INDEX($L$9:$L$15,C140))</f>
        <v/>
      </c>
      <c r="I140" s="16">
        <f>IF(E140="","",E140-H140)</f>
        <v/>
      </c>
    </row>
    <row r="141">
      <c r="A141" s="5" t="n"/>
      <c r="B141" s="7" t="n"/>
      <c r="C141">
        <f>IF(A141="","",WEEKDAY(A141,2))</f>
        <v/>
      </c>
      <c r="D141">
        <f>IF(A141="","",A141-MIN($A$5:$A$400)+1)</f>
        <v/>
      </c>
      <c r="E141" s="16">
        <f>IF(OR(A141="",B141&lt;=0),"",LN(B141))</f>
        <v/>
      </c>
      <c r="F141" s="16">
        <f>IF(E141="","",$L$6+$L$5*D141)</f>
        <v/>
      </c>
      <c r="G141" s="16">
        <f>IF(E141="","",E141-F141)</f>
        <v/>
      </c>
      <c r="H141" s="16">
        <f>IF(E141="","",F141+INDEX($L$9:$L$15,C141))</f>
        <v/>
      </c>
      <c r="I141" s="16">
        <f>IF(E141="","",E141-H141)</f>
        <v/>
      </c>
    </row>
    <row r="142">
      <c r="A142" s="5" t="n"/>
      <c r="B142" s="7" t="n"/>
      <c r="C142">
        <f>IF(A142="","",WEEKDAY(A142,2))</f>
        <v/>
      </c>
      <c r="D142">
        <f>IF(A142="","",A142-MIN($A$5:$A$400)+1)</f>
        <v/>
      </c>
      <c r="E142" s="16">
        <f>IF(OR(A142="",B142&lt;=0),"",LN(B142))</f>
        <v/>
      </c>
      <c r="F142" s="16">
        <f>IF(E142="","",$L$6+$L$5*D142)</f>
        <v/>
      </c>
      <c r="G142" s="16">
        <f>IF(E142="","",E142-F142)</f>
        <v/>
      </c>
      <c r="H142" s="16">
        <f>IF(E142="","",F142+INDEX($L$9:$L$15,C142))</f>
        <v/>
      </c>
      <c r="I142" s="16">
        <f>IF(E142="","",E142-H142)</f>
        <v/>
      </c>
    </row>
    <row r="143">
      <c r="A143" s="5" t="n"/>
      <c r="B143" s="7" t="n"/>
      <c r="C143">
        <f>IF(A143="","",WEEKDAY(A143,2))</f>
        <v/>
      </c>
      <c r="D143">
        <f>IF(A143="","",A143-MIN($A$5:$A$400)+1)</f>
        <v/>
      </c>
      <c r="E143" s="16">
        <f>IF(OR(A143="",B143&lt;=0),"",LN(B143))</f>
        <v/>
      </c>
      <c r="F143" s="16">
        <f>IF(E143="","",$L$6+$L$5*D143)</f>
        <v/>
      </c>
      <c r="G143" s="16">
        <f>IF(E143="","",E143-F143)</f>
        <v/>
      </c>
      <c r="H143" s="16">
        <f>IF(E143="","",F143+INDEX($L$9:$L$15,C143))</f>
        <v/>
      </c>
      <c r="I143" s="16">
        <f>IF(E143="","",E143-H143)</f>
        <v/>
      </c>
    </row>
    <row r="144">
      <c r="A144" s="5" t="n"/>
      <c r="B144" s="7" t="n"/>
      <c r="C144">
        <f>IF(A144="","",WEEKDAY(A144,2))</f>
        <v/>
      </c>
      <c r="D144">
        <f>IF(A144="","",A144-MIN($A$5:$A$400)+1)</f>
        <v/>
      </c>
      <c r="E144" s="16">
        <f>IF(OR(A144="",B144&lt;=0),"",LN(B144))</f>
        <v/>
      </c>
      <c r="F144" s="16">
        <f>IF(E144="","",$L$6+$L$5*D144)</f>
        <v/>
      </c>
      <c r="G144" s="16">
        <f>IF(E144="","",E144-F144)</f>
        <v/>
      </c>
      <c r="H144" s="16">
        <f>IF(E144="","",F144+INDEX($L$9:$L$15,C144))</f>
        <v/>
      </c>
      <c r="I144" s="16">
        <f>IF(E144="","",E144-H144)</f>
        <v/>
      </c>
    </row>
    <row r="145">
      <c r="A145" s="5" t="n"/>
      <c r="B145" s="7" t="n"/>
      <c r="C145">
        <f>IF(A145="","",WEEKDAY(A145,2))</f>
        <v/>
      </c>
      <c r="D145">
        <f>IF(A145="","",A145-MIN($A$5:$A$400)+1)</f>
        <v/>
      </c>
      <c r="E145" s="16">
        <f>IF(OR(A145="",B145&lt;=0),"",LN(B145))</f>
        <v/>
      </c>
      <c r="F145" s="16">
        <f>IF(E145="","",$L$6+$L$5*D145)</f>
        <v/>
      </c>
      <c r="G145" s="16">
        <f>IF(E145="","",E145-F145)</f>
        <v/>
      </c>
      <c r="H145" s="16">
        <f>IF(E145="","",F145+INDEX($L$9:$L$15,C145))</f>
        <v/>
      </c>
      <c r="I145" s="16">
        <f>IF(E145="","",E145-H145)</f>
        <v/>
      </c>
    </row>
    <row r="146">
      <c r="A146" s="5" t="n"/>
      <c r="B146" s="7" t="n"/>
      <c r="C146">
        <f>IF(A146="","",WEEKDAY(A146,2))</f>
        <v/>
      </c>
      <c r="D146">
        <f>IF(A146="","",A146-MIN($A$5:$A$400)+1)</f>
        <v/>
      </c>
      <c r="E146" s="16">
        <f>IF(OR(A146="",B146&lt;=0),"",LN(B146))</f>
        <v/>
      </c>
      <c r="F146" s="16">
        <f>IF(E146="","",$L$6+$L$5*D146)</f>
        <v/>
      </c>
      <c r="G146" s="16">
        <f>IF(E146="","",E146-F146)</f>
        <v/>
      </c>
      <c r="H146" s="16">
        <f>IF(E146="","",F146+INDEX($L$9:$L$15,C146))</f>
        <v/>
      </c>
      <c r="I146" s="16">
        <f>IF(E146="","",E146-H146)</f>
        <v/>
      </c>
    </row>
    <row r="147">
      <c r="A147" s="5" t="n"/>
      <c r="B147" s="7" t="n"/>
      <c r="C147">
        <f>IF(A147="","",WEEKDAY(A147,2))</f>
        <v/>
      </c>
      <c r="D147">
        <f>IF(A147="","",A147-MIN($A$5:$A$400)+1)</f>
        <v/>
      </c>
      <c r="E147" s="16">
        <f>IF(OR(A147="",B147&lt;=0),"",LN(B147))</f>
        <v/>
      </c>
      <c r="F147" s="16">
        <f>IF(E147="","",$L$6+$L$5*D147)</f>
        <v/>
      </c>
      <c r="G147" s="16">
        <f>IF(E147="","",E147-F147)</f>
        <v/>
      </c>
      <c r="H147" s="16">
        <f>IF(E147="","",F147+INDEX($L$9:$L$15,C147))</f>
        <v/>
      </c>
      <c r="I147" s="16">
        <f>IF(E147="","",E147-H147)</f>
        <v/>
      </c>
    </row>
    <row r="148">
      <c r="A148" s="5" t="n"/>
      <c r="B148" s="7" t="n"/>
      <c r="C148">
        <f>IF(A148="","",WEEKDAY(A148,2))</f>
        <v/>
      </c>
      <c r="D148">
        <f>IF(A148="","",A148-MIN($A$5:$A$400)+1)</f>
        <v/>
      </c>
      <c r="E148" s="16">
        <f>IF(OR(A148="",B148&lt;=0),"",LN(B148))</f>
        <v/>
      </c>
      <c r="F148" s="16">
        <f>IF(E148="","",$L$6+$L$5*D148)</f>
        <v/>
      </c>
      <c r="G148" s="16">
        <f>IF(E148="","",E148-F148)</f>
        <v/>
      </c>
      <c r="H148" s="16">
        <f>IF(E148="","",F148+INDEX($L$9:$L$15,C148))</f>
        <v/>
      </c>
      <c r="I148" s="16">
        <f>IF(E148="","",E148-H148)</f>
        <v/>
      </c>
    </row>
    <row r="149">
      <c r="A149" s="5" t="n"/>
      <c r="B149" s="7" t="n"/>
      <c r="C149">
        <f>IF(A149="","",WEEKDAY(A149,2))</f>
        <v/>
      </c>
      <c r="D149">
        <f>IF(A149="","",A149-MIN($A$5:$A$400)+1)</f>
        <v/>
      </c>
      <c r="E149" s="16">
        <f>IF(OR(A149="",B149&lt;=0),"",LN(B149))</f>
        <v/>
      </c>
      <c r="F149" s="16">
        <f>IF(E149="","",$L$6+$L$5*D149)</f>
        <v/>
      </c>
      <c r="G149" s="16">
        <f>IF(E149="","",E149-F149)</f>
        <v/>
      </c>
      <c r="H149" s="16">
        <f>IF(E149="","",F149+INDEX($L$9:$L$15,C149))</f>
        <v/>
      </c>
      <c r="I149" s="16">
        <f>IF(E149="","",E149-H149)</f>
        <v/>
      </c>
    </row>
    <row r="150">
      <c r="A150" s="5" t="n"/>
      <c r="B150" s="7" t="n"/>
      <c r="C150">
        <f>IF(A150="","",WEEKDAY(A150,2))</f>
        <v/>
      </c>
      <c r="D150">
        <f>IF(A150="","",A150-MIN($A$5:$A$400)+1)</f>
        <v/>
      </c>
      <c r="E150" s="16">
        <f>IF(OR(A150="",B150&lt;=0),"",LN(B150))</f>
        <v/>
      </c>
      <c r="F150" s="16">
        <f>IF(E150="","",$L$6+$L$5*D150)</f>
        <v/>
      </c>
      <c r="G150" s="16">
        <f>IF(E150="","",E150-F150)</f>
        <v/>
      </c>
      <c r="H150" s="16">
        <f>IF(E150="","",F150+INDEX($L$9:$L$15,C150))</f>
        <v/>
      </c>
      <c r="I150" s="16">
        <f>IF(E150="","",E150-H150)</f>
        <v/>
      </c>
    </row>
    <row r="151">
      <c r="A151" s="5" t="n"/>
      <c r="B151" s="7" t="n"/>
      <c r="C151">
        <f>IF(A151="","",WEEKDAY(A151,2))</f>
        <v/>
      </c>
      <c r="D151">
        <f>IF(A151="","",A151-MIN($A$5:$A$400)+1)</f>
        <v/>
      </c>
      <c r="E151" s="16">
        <f>IF(OR(A151="",B151&lt;=0),"",LN(B151))</f>
        <v/>
      </c>
      <c r="F151" s="16">
        <f>IF(E151="","",$L$6+$L$5*D151)</f>
        <v/>
      </c>
      <c r="G151" s="16">
        <f>IF(E151="","",E151-F151)</f>
        <v/>
      </c>
      <c r="H151" s="16">
        <f>IF(E151="","",F151+INDEX($L$9:$L$15,C151))</f>
        <v/>
      </c>
      <c r="I151" s="16">
        <f>IF(E151="","",E151-H151)</f>
        <v/>
      </c>
    </row>
    <row r="152">
      <c r="A152" s="5" t="n"/>
      <c r="B152" s="7" t="n"/>
      <c r="C152">
        <f>IF(A152="","",WEEKDAY(A152,2))</f>
        <v/>
      </c>
      <c r="D152">
        <f>IF(A152="","",A152-MIN($A$5:$A$400)+1)</f>
        <v/>
      </c>
      <c r="E152" s="16">
        <f>IF(OR(A152="",B152&lt;=0),"",LN(B152))</f>
        <v/>
      </c>
      <c r="F152" s="16">
        <f>IF(E152="","",$L$6+$L$5*D152)</f>
        <v/>
      </c>
      <c r="G152" s="16">
        <f>IF(E152="","",E152-F152)</f>
        <v/>
      </c>
      <c r="H152" s="16">
        <f>IF(E152="","",F152+INDEX($L$9:$L$15,C152))</f>
        <v/>
      </c>
      <c r="I152" s="16">
        <f>IF(E152="","",E152-H152)</f>
        <v/>
      </c>
    </row>
    <row r="153">
      <c r="A153" s="5" t="n"/>
      <c r="B153" s="7" t="n"/>
      <c r="C153">
        <f>IF(A153="","",WEEKDAY(A153,2))</f>
        <v/>
      </c>
      <c r="D153">
        <f>IF(A153="","",A153-MIN($A$5:$A$400)+1)</f>
        <v/>
      </c>
      <c r="E153" s="16">
        <f>IF(OR(A153="",B153&lt;=0),"",LN(B153))</f>
        <v/>
      </c>
      <c r="F153" s="16">
        <f>IF(E153="","",$L$6+$L$5*D153)</f>
        <v/>
      </c>
      <c r="G153" s="16">
        <f>IF(E153="","",E153-F153)</f>
        <v/>
      </c>
      <c r="H153" s="16">
        <f>IF(E153="","",F153+INDEX($L$9:$L$15,C153))</f>
        <v/>
      </c>
      <c r="I153" s="16">
        <f>IF(E153="","",E153-H153)</f>
        <v/>
      </c>
    </row>
    <row r="154">
      <c r="A154" s="5" t="n"/>
      <c r="B154" s="7" t="n"/>
      <c r="C154">
        <f>IF(A154="","",WEEKDAY(A154,2))</f>
        <v/>
      </c>
      <c r="D154">
        <f>IF(A154="","",A154-MIN($A$5:$A$400)+1)</f>
        <v/>
      </c>
      <c r="E154" s="16">
        <f>IF(OR(A154="",B154&lt;=0),"",LN(B154))</f>
        <v/>
      </c>
      <c r="F154" s="16">
        <f>IF(E154="","",$L$6+$L$5*D154)</f>
        <v/>
      </c>
      <c r="G154" s="16">
        <f>IF(E154="","",E154-F154)</f>
        <v/>
      </c>
      <c r="H154" s="16">
        <f>IF(E154="","",F154+INDEX($L$9:$L$15,C154))</f>
        <v/>
      </c>
      <c r="I154" s="16">
        <f>IF(E154="","",E154-H154)</f>
        <v/>
      </c>
    </row>
    <row r="155">
      <c r="A155" s="5" t="n"/>
      <c r="B155" s="7" t="n"/>
      <c r="C155">
        <f>IF(A155="","",WEEKDAY(A155,2))</f>
        <v/>
      </c>
      <c r="D155">
        <f>IF(A155="","",A155-MIN($A$5:$A$400)+1)</f>
        <v/>
      </c>
      <c r="E155" s="16">
        <f>IF(OR(A155="",B155&lt;=0),"",LN(B155))</f>
        <v/>
      </c>
      <c r="F155" s="16">
        <f>IF(E155="","",$L$6+$L$5*D155)</f>
        <v/>
      </c>
      <c r="G155" s="16">
        <f>IF(E155="","",E155-F155)</f>
        <v/>
      </c>
      <c r="H155" s="16">
        <f>IF(E155="","",F155+INDEX($L$9:$L$15,C155))</f>
        <v/>
      </c>
      <c r="I155" s="16">
        <f>IF(E155="","",E155-H155)</f>
        <v/>
      </c>
    </row>
    <row r="156">
      <c r="A156" s="5" t="n"/>
      <c r="B156" s="7" t="n"/>
      <c r="C156">
        <f>IF(A156="","",WEEKDAY(A156,2))</f>
        <v/>
      </c>
      <c r="D156">
        <f>IF(A156="","",A156-MIN($A$5:$A$400)+1)</f>
        <v/>
      </c>
      <c r="E156" s="16">
        <f>IF(OR(A156="",B156&lt;=0),"",LN(B156))</f>
        <v/>
      </c>
      <c r="F156" s="16">
        <f>IF(E156="","",$L$6+$L$5*D156)</f>
        <v/>
      </c>
      <c r="G156" s="16">
        <f>IF(E156="","",E156-F156)</f>
        <v/>
      </c>
      <c r="H156" s="16">
        <f>IF(E156="","",F156+INDEX($L$9:$L$15,C156))</f>
        <v/>
      </c>
      <c r="I156" s="16">
        <f>IF(E156="","",E156-H156)</f>
        <v/>
      </c>
    </row>
    <row r="157">
      <c r="A157" s="5" t="n"/>
      <c r="B157" s="7" t="n"/>
      <c r="C157">
        <f>IF(A157="","",WEEKDAY(A157,2))</f>
        <v/>
      </c>
      <c r="D157">
        <f>IF(A157="","",A157-MIN($A$5:$A$400)+1)</f>
        <v/>
      </c>
      <c r="E157" s="16">
        <f>IF(OR(A157="",B157&lt;=0),"",LN(B157))</f>
        <v/>
      </c>
      <c r="F157" s="16">
        <f>IF(E157="","",$L$6+$L$5*D157)</f>
        <v/>
      </c>
      <c r="G157" s="16">
        <f>IF(E157="","",E157-F157)</f>
        <v/>
      </c>
      <c r="H157" s="16">
        <f>IF(E157="","",F157+INDEX($L$9:$L$15,C157))</f>
        <v/>
      </c>
      <c r="I157" s="16">
        <f>IF(E157="","",E157-H157)</f>
        <v/>
      </c>
    </row>
    <row r="158">
      <c r="A158" s="5" t="n"/>
      <c r="B158" s="7" t="n"/>
      <c r="C158">
        <f>IF(A158="","",WEEKDAY(A158,2))</f>
        <v/>
      </c>
      <c r="D158">
        <f>IF(A158="","",A158-MIN($A$5:$A$400)+1)</f>
        <v/>
      </c>
      <c r="E158" s="16">
        <f>IF(OR(A158="",B158&lt;=0),"",LN(B158))</f>
        <v/>
      </c>
      <c r="F158" s="16">
        <f>IF(E158="","",$L$6+$L$5*D158)</f>
        <v/>
      </c>
      <c r="G158" s="16">
        <f>IF(E158="","",E158-F158)</f>
        <v/>
      </c>
      <c r="H158" s="16">
        <f>IF(E158="","",F158+INDEX($L$9:$L$15,C158))</f>
        <v/>
      </c>
      <c r="I158" s="16">
        <f>IF(E158="","",E158-H158)</f>
        <v/>
      </c>
    </row>
    <row r="159">
      <c r="A159" s="5" t="n"/>
      <c r="B159" s="7" t="n"/>
      <c r="C159">
        <f>IF(A159="","",WEEKDAY(A159,2))</f>
        <v/>
      </c>
      <c r="D159">
        <f>IF(A159="","",A159-MIN($A$5:$A$400)+1)</f>
        <v/>
      </c>
      <c r="E159" s="16">
        <f>IF(OR(A159="",B159&lt;=0),"",LN(B159))</f>
        <v/>
      </c>
      <c r="F159" s="16">
        <f>IF(E159="","",$L$6+$L$5*D159)</f>
        <v/>
      </c>
      <c r="G159" s="16">
        <f>IF(E159="","",E159-F159)</f>
        <v/>
      </c>
      <c r="H159" s="16">
        <f>IF(E159="","",F159+INDEX($L$9:$L$15,C159))</f>
        <v/>
      </c>
      <c r="I159" s="16">
        <f>IF(E159="","",E159-H159)</f>
        <v/>
      </c>
    </row>
    <row r="160">
      <c r="A160" s="5" t="n"/>
      <c r="B160" s="7" t="n"/>
      <c r="C160">
        <f>IF(A160="","",WEEKDAY(A160,2))</f>
        <v/>
      </c>
      <c r="D160">
        <f>IF(A160="","",A160-MIN($A$5:$A$400)+1)</f>
        <v/>
      </c>
      <c r="E160" s="16">
        <f>IF(OR(A160="",B160&lt;=0),"",LN(B160))</f>
        <v/>
      </c>
      <c r="F160" s="16">
        <f>IF(E160="","",$L$6+$L$5*D160)</f>
        <v/>
      </c>
      <c r="G160" s="16">
        <f>IF(E160="","",E160-F160)</f>
        <v/>
      </c>
      <c r="H160" s="16">
        <f>IF(E160="","",F160+INDEX($L$9:$L$15,C160))</f>
        <v/>
      </c>
      <c r="I160" s="16">
        <f>IF(E160="","",E160-H160)</f>
        <v/>
      </c>
    </row>
    <row r="161">
      <c r="A161" s="5" t="n"/>
      <c r="B161" s="7" t="n"/>
      <c r="C161">
        <f>IF(A161="","",WEEKDAY(A161,2))</f>
        <v/>
      </c>
      <c r="D161">
        <f>IF(A161="","",A161-MIN($A$5:$A$400)+1)</f>
        <v/>
      </c>
      <c r="E161" s="16">
        <f>IF(OR(A161="",B161&lt;=0),"",LN(B161))</f>
        <v/>
      </c>
      <c r="F161" s="16">
        <f>IF(E161="","",$L$6+$L$5*D161)</f>
        <v/>
      </c>
      <c r="G161" s="16">
        <f>IF(E161="","",E161-F161)</f>
        <v/>
      </c>
      <c r="H161" s="16">
        <f>IF(E161="","",F161+INDEX($L$9:$L$15,C161))</f>
        <v/>
      </c>
      <c r="I161" s="16">
        <f>IF(E161="","",E161-H161)</f>
        <v/>
      </c>
    </row>
    <row r="162">
      <c r="A162" s="5" t="n"/>
      <c r="B162" s="7" t="n"/>
      <c r="C162">
        <f>IF(A162="","",WEEKDAY(A162,2))</f>
        <v/>
      </c>
      <c r="D162">
        <f>IF(A162="","",A162-MIN($A$5:$A$400)+1)</f>
        <v/>
      </c>
      <c r="E162" s="16">
        <f>IF(OR(A162="",B162&lt;=0),"",LN(B162))</f>
        <v/>
      </c>
      <c r="F162" s="16">
        <f>IF(E162="","",$L$6+$L$5*D162)</f>
        <v/>
      </c>
      <c r="G162" s="16">
        <f>IF(E162="","",E162-F162)</f>
        <v/>
      </c>
      <c r="H162" s="16">
        <f>IF(E162="","",F162+INDEX($L$9:$L$15,C162))</f>
        <v/>
      </c>
      <c r="I162" s="16">
        <f>IF(E162="","",E162-H162)</f>
        <v/>
      </c>
    </row>
    <row r="163">
      <c r="A163" s="5" t="n"/>
      <c r="B163" s="7" t="n"/>
      <c r="C163">
        <f>IF(A163="","",WEEKDAY(A163,2))</f>
        <v/>
      </c>
      <c r="D163">
        <f>IF(A163="","",A163-MIN($A$5:$A$400)+1)</f>
        <v/>
      </c>
      <c r="E163" s="16">
        <f>IF(OR(A163="",B163&lt;=0),"",LN(B163))</f>
        <v/>
      </c>
      <c r="F163" s="16">
        <f>IF(E163="","",$L$6+$L$5*D163)</f>
        <v/>
      </c>
      <c r="G163" s="16">
        <f>IF(E163="","",E163-F163)</f>
        <v/>
      </c>
      <c r="H163" s="16">
        <f>IF(E163="","",F163+INDEX($L$9:$L$15,C163))</f>
        <v/>
      </c>
      <c r="I163" s="16">
        <f>IF(E163="","",E163-H163)</f>
        <v/>
      </c>
    </row>
    <row r="164">
      <c r="A164" s="5" t="n"/>
      <c r="B164" s="7" t="n"/>
      <c r="C164">
        <f>IF(A164="","",WEEKDAY(A164,2))</f>
        <v/>
      </c>
      <c r="D164">
        <f>IF(A164="","",A164-MIN($A$5:$A$400)+1)</f>
        <v/>
      </c>
      <c r="E164" s="16">
        <f>IF(OR(A164="",B164&lt;=0),"",LN(B164))</f>
        <v/>
      </c>
      <c r="F164" s="16">
        <f>IF(E164="","",$L$6+$L$5*D164)</f>
        <v/>
      </c>
      <c r="G164" s="16">
        <f>IF(E164="","",E164-F164)</f>
        <v/>
      </c>
      <c r="H164" s="16">
        <f>IF(E164="","",F164+INDEX($L$9:$L$15,C164))</f>
        <v/>
      </c>
      <c r="I164" s="16">
        <f>IF(E164="","",E164-H164)</f>
        <v/>
      </c>
    </row>
    <row r="165">
      <c r="A165" s="5" t="n"/>
      <c r="B165" s="7" t="n"/>
      <c r="C165">
        <f>IF(A165="","",WEEKDAY(A165,2))</f>
        <v/>
      </c>
      <c r="D165">
        <f>IF(A165="","",A165-MIN($A$5:$A$400)+1)</f>
        <v/>
      </c>
      <c r="E165" s="16">
        <f>IF(OR(A165="",B165&lt;=0),"",LN(B165))</f>
        <v/>
      </c>
      <c r="F165" s="16">
        <f>IF(E165="","",$L$6+$L$5*D165)</f>
        <v/>
      </c>
      <c r="G165" s="16">
        <f>IF(E165="","",E165-F165)</f>
        <v/>
      </c>
      <c r="H165" s="16">
        <f>IF(E165="","",F165+INDEX($L$9:$L$15,C165))</f>
        <v/>
      </c>
      <c r="I165" s="16">
        <f>IF(E165="","",E165-H165)</f>
        <v/>
      </c>
    </row>
    <row r="166">
      <c r="A166" s="5" t="n"/>
      <c r="B166" s="7" t="n"/>
      <c r="C166">
        <f>IF(A166="","",WEEKDAY(A166,2))</f>
        <v/>
      </c>
      <c r="D166">
        <f>IF(A166="","",A166-MIN($A$5:$A$400)+1)</f>
        <v/>
      </c>
      <c r="E166" s="16">
        <f>IF(OR(A166="",B166&lt;=0),"",LN(B166))</f>
        <v/>
      </c>
      <c r="F166" s="16">
        <f>IF(E166="","",$L$6+$L$5*D166)</f>
        <v/>
      </c>
      <c r="G166" s="16">
        <f>IF(E166="","",E166-F166)</f>
        <v/>
      </c>
      <c r="H166" s="16">
        <f>IF(E166="","",F166+INDEX($L$9:$L$15,C166))</f>
        <v/>
      </c>
      <c r="I166" s="16">
        <f>IF(E166="","",E166-H166)</f>
        <v/>
      </c>
    </row>
    <row r="167">
      <c r="A167" s="5" t="n"/>
      <c r="B167" s="7" t="n"/>
      <c r="C167">
        <f>IF(A167="","",WEEKDAY(A167,2))</f>
        <v/>
      </c>
      <c r="D167">
        <f>IF(A167="","",A167-MIN($A$5:$A$400)+1)</f>
        <v/>
      </c>
      <c r="E167" s="16">
        <f>IF(OR(A167="",B167&lt;=0),"",LN(B167))</f>
        <v/>
      </c>
      <c r="F167" s="16">
        <f>IF(E167="","",$L$6+$L$5*D167)</f>
        <v/>
      </c>
      <c r="G167" s="16">
        <f>IF(E167="","",E167-F167)</f>
        <v/>
      </c>
      <c r="H167" s="16">
        <f>IF(E167="","",F167+INDEX($L$9:$L$15,C167))</f>
        <v/>
      </c>
      <c r="I167" s="16">
        <f>IF(E167="","",E167-H167)</f>
        <v/>
      </c>
    </row>
    <row r="168">
      <c r="A168" s="5" t="n"/>
      <c r="B168" s="7" t="n"/>
      <c r="C168">
        <f>IF(A168="","",WEEKDAY(A168,2))</f>
        <v/>
      </c>
      <c r="D168">
        <f>IF(A168="","",A168-MIN($A$5:$A$400)+1)</f>
        <v/>
      </c>
      <c r="E168" s="16">
        <f>IF(OR(A168="",B168&lt;=0),"",LN(B168))</f>
        <v/>
      </c>
      <c r="F168" s="16">
        <f>IF(E168="","",$L$6+$L$5*D168)</f>
        <v/>
      </c>
      <c r="G168" s="16">
        <f>IF(E168="","",E168-F168)</f>
        <v/>
      </c>
      <c r="H168" s="16">
        <f>IF(E168="","",F168+INDEX($L$9:$L$15,C168))</f>
        <v/>
      </c>
      <c r="I168" s="16">
        <f>IF(E168="","",E168-H168)</f>
        <v/>
      </c>
    </row>
    <row r="169">
      <c r="A169" s="5" t="n"/>
      <c r="B169" s="7" t="n"/>
      <c r="C169">
        <f>IF(A169="","",WEEKDAY(A169,2))</f>
        <v/>
      </c>
      <c r="D169">
        <f>IF(A169="","",A169-MIN($A$5:$A$400)+1)</f>
        <v/>
      </c>
      <c r="E169" s="16">
        <f>IF(OR(A169="",B169&lt;=0),"",LN(B169))</f>
        <v/>
      </c>
      <c r="F169" s="16">
        <f>IF(E169="","",$L$6+$L$5*D169)</f>
        <v/>
      </c>
      <c r="G169" s="16">
        <f>IF(E169="","",E169-F169)</f>
        <v/>
      </c>
      <c r="H169" s="16">
        <f>IF(E169="","",F169+INDEX($L$9:$L$15,C169))</f>
        <v/>
      </c>
      <c r="I169" s="16">
        <f>IF(E169="","",E169-H169)</f>
        <v/>
      </c>
    </row>
    <row r="170">
      <c r="A170" s="5" t="n"/>
      <c r="B170" s="7" t="n"/>
      <c r="C170">
        <f>IF(A170="","",WEEKDAY(A170,2))</f>
        <v/>
      </c>
      <c r="D170">
        <f>IF(A170="","",A170-MIN($A$5:$A$400)+1)</f>
        <v/>
      </c>
      <c r="E170" s="16">
        <f>IF(OR(A170="",B170&lt;=0),"",LN(B170))</f>
        <v/>
      </c>
      <c r="F170" s="16">
        <f>IF(E170="","",$L$6+$L$5*D170)</f>
        <v/>
      </c>
      <c r="G170" s="16">
        <f>IF(E170="","",E170-F170)</f>
        <v/>
      </c>
      <c r="H170" s="16">
        <f>IF(E170="","",F170+INDEX($L$9:$L$15,C170))</f>
        <v/>
      </c>
      <c r="I170" s="16">
        <f>IF(E170="","",E170-H170)</f>
        <v/>
      </c>
    </row>
    <row r="171">
      <c r="A171" s="5" t="n"/>
      <c r="B171" s="7" t="n"/>
      <c r="C171">
        <f>IF(A171="","",WEEKDAY(A171,2))</f>
        <v/>
      </c>
      <c r="D171">
        <f>IF(A171="","",A171-MIN($A$5:$A$400)+1)</f>
        <v/>
      </c>
      <c r="E171" s="16">
        <f>IF(OR(A171="",B171&lt;=0),"",LN(B171))</f>
        <v/>
      </c>
      <c r="F171" s="16">
        <f>IF(E171="","",$L$6+$L$5*D171)</f>
        <v/>
      </c>
      <c r="G171" s="16">
        <f>IF(E171="","",E171-F171)</f>
        <v/>
      </c>
      <c r="H171" s="16">
        <f>IF(E171="","",F171+INDEX($L$9:$L$15,C171))</f>
        <v/>
      </c>
      <c r="I171" s="16">
        <f>IF(E171="","",E171-H171)</f>
        <v/>
      </c>
    </row>
    <row r="172">
      <c r="A172" s="5" t="n"/>
      <c r="B172" s="7" t="n"/>
      <c r="C172">
        <f>IF(A172="","",WEEKDAY(A172,2))</f>
        <v/>
      </c>
      <c r="D172">
        <f>IF(A172="","",A172-MIN($A$5:$A$400)+1)</f>
        <v/>
      </c>
      <c r="E172" s="16">
        <f>IF(OR(A172="",B172&lt;=0),"",LN(B172))</f>
        <v/>
      </c>
      <c r="F172" s="16">
        <f>IF(E172="","",$L$6+$L$5*D172)</f>
        <v/>
      </c>
      <c r="G172" s="16">
        <f>IF(E172="","",E172-F172)</f>
        <v/>
      </c>
      <c r="H172" s="16">
        <f>IF(E172="","",F172+INDEX($L$9:$L$15,C172))</f>
        <v/>
      </c>
      <c r="I172" s="16">
        <f>IF(E172="","",E172-H172)</f>
        <v/>
      </c>
    </row>
    <row r="173">
      <c r="A173" s="5" t="n"/>
      <c r="B173" s="7" t="n"/>
      <c r="C173">
        <f>IF(A173="","",WEEKDAY(A173,2))</f>
        <v/>
      </c>
      <c r="D173">
        <f>IF(A173="","",A173-MIN($A$5:$A$400)+1)</f>
        <v/>
      </c>
      <c r="E173" s="16">
        <f>IF(OR(A173="",B173&lt;=0),"",LN(B173))</f>
        <v/>
      </c>
      <c r="F173" s="16">
        <f>IF(E173="","",$L$6+$L$5*D173)</f>
        <v/>
      </c>
      <c r="G173" s="16">
        <f>IF(E173="","",E173-F173)</f>
        <v/>
      </c>
      <c r="H173" s="16">
        <f>IF(E173="","",F173+INDEX($L$9:$L$15,C173))</f>
        <v/>
      </c>
      <c r="I173" s="16">
        <f>IF(E173="","",E173-H173)</f>
        <v/>
      </c>
    </row>
    <row r="174">
      <c r="A174" s="5" t="n"/>
      <c r="B174" s="7" t="n"/>
      <c r="C174">
        <f>IF(A174="","",WEEKDAY(A174,2))</f>
        <v/>
      </c>
      <c r="D174">
        <f>IF(A174="","",A174-MIN($A$5:$A$400)+1)</f>
        <v/>
      </c>
      <c r="E174" s="16">
        <f>IF(OR(A174="",B174&lt;=0),"",LN(B174))</f>
        <v/>
      </c>
      <c r="F174" s="16">
        <f>IF(E174="","",$L$6+$L$5*D174)</f>
        <v/>
      </c>
      <c r="G174" s="16">
        <f>IF(E174="","",E174-F174)</f>
        <v/>
      </c>
      <c r="H174" s="16">
        <f>IF(E174="","",F174+INDEX($L$9:$L$15,C174))</f>
        <v/>
      </c>
      <c r="I174" s="16">
        <f>IF(E174="","",E174-H174)</f>
        <v/>
      </c>
    </row>
    <row r="175">
      <c r="A175" s="5" t="n"/>
      <c r="B175" s="7" t="n"/>
      <c r="C175">
        <f>IF(A175="","",WEEKDAY(A175,2))</f>
        <v/>
      </c>
      <c r="D175">
        <f>IF(A175="","",A175-MIN($A$5:$A$400)+1)</f>
        <v/>
      </c>
      <c r="E175" s="16">
        <f>IF(OR(A175="",B175&lt;=0),"",LN(B175))</f>
        <v/>
      </c>
      <c r="F175" s="16">
        <f>IF(E175="","",$L$6+$L$5*D175)</f>
        <v/>
      </c>
      <c r="G175" s="16">
        <f>IF(E175="","",E175-F175)</f>
        <v/>
      </c>
      <c r="H175" s="16">
        <f>IF(E175="","",F175+INDEX($L$9:$L$15,C175))</f>
        <v/>
      </c>
      <c r="I175" s="16">
        <f>IF(E175="","",E175-H175)</f>
        <v/>
      </c>
    </row>
    <row r="176">
      <c r="A176" s="5" t="n"/>
      <c r="B176" s="7" t="n"/>
      <c r="C176">
        <f>IF(A176="","",WEEKDAY(A176,2))</f>
        <v/>
      </c>
      <c r="D176">
        <f>IF(A176="","",A176-MIN($A$5:$A$400)+1)</f>
        <v/>
      </c>
      <c r="E176" s="16">
        <f>IF(OR(A176="",B176&lt;=0),"",LN(B176))</f>
        <v/>
      </c>
      <c r="F176" s="16">
        <f>IF(E176="","",$L$6+$L$5*D176)</f>
        <v/>
      </c>
      <c r="G176" s="16">
        <f>IF(E176="","",E176-F176)</f>
        <v/>
      </c>
      <c r="H176" s="16">
        <f>IF(E176="","",F176+INDEX($L$9:$L$15,C176))</f>
        <v/>
      </c>
      <c r="I176" s="16">
        <f>IF(E176="","",E176-H176)</f>
        <v/>
      </c>
    </row>
    <row r="177">
      <c r="A177" s="5" t="n"/>
      <c r="B177" s="7" t="n"/>
      <c r="C177">
        <f>IF(A177="","",WEEKDAY(A177,2))</f>
        <v/>
      </c>
      <c r="D177">
        <f>IF(A177="","",A177-MIN($A$5:$A$400)+1)</f>
        <v/>
      </c>
      <c r="E177" s="16">
        <f>IF(OR(A177="",B177&lt;=0),"",LN(B177))</f>
        <v/>
      </c>
      <c r="F177" s="16">
        <f>IF(E177="","",$L$6+$L$5*D177)</f>
        <v/>
      </c>
      <c r="G177" s="16">
        <f>IF(E177="","",E177-F177)</f>
        <v/>
      </c>
      <c r="H177" s="16">
        <f>IF(E177="","",F177+INDEX($L$9:$L$15,C177))</f>
        <v/>
      </c>
      <c r="I177" s="16">
        <f>IF(E177="","",E177-H177)</f>
        <v/>
      </c>
    </row>
    <row r="178">
      <c r="A178" s="5" t="n"/>
      <c r="B178" s="7" t="n"/>
      <c r="C178">
        <f>IF(A178="","",WEEKDAY(A178,2))</f>
        <v/>
      </c>
      <c r="D178">
        <f>IF(A178="","",A178-MIN($A$5:$A$400)+1)</f>
        <v/>
      </c>
      <c r="E178" s="16">
        <f>IF(OR(A178="",B178&lt;=0),"",LN(B178))</f>
        <v/>
      </c>
      <c r="F178" s="16">
        <f>IF(E178="","",$L$6+$L$5*D178)</f>
        <v/>
      </c>
      <c r="G178" s="16">
        <f>IF(E178="","",E178-F178)</f>
        <v/>
      </c>
      <c r="H178" s="16">
        <f>IF(E178="","",F178+INDEX($L$9:$L$15,C178))</f>
        <v/>
      </c>
      <c r="I178" s="16">
        <f>IF(E178="","",E178-H178)</f>
        <v/>
      </c>
    </row>
    <row r="179">
      <c r="A179" s="5" t="n"/>
      <c r="B179" s="7" t="n"/>
      <c r="C179">
        <f>IF(A179="","",WEEKDAY(A179,2))</f>
        <v/>
      </c>
      <c r="D179">
        <f>IF(A179="","",A179-MIN($A$5:$A$400)+1)</f>
        <v/>
      </c>
      <c r="E179" s="16">
        <f>IF(OR(A179="",B179&lt;=0),"",LN(B179))</f>
        <v/>
      </c>
      <c r="F179" s="16">
        <f>IF(E179="","",$L$6+$L$5*D179)</f>
        <v/>
      </c>
      <c r="G179" s="16">
        <f>IF(E179="","",E179-F179)</f>
        <v/>
      </c>
      <c r="H179" s="16">
        <f>IF(E179="","",F179+INDEX($L$9:$L$15,C179))</f>
        <v/>
      </c>
      <c r="I179" s="16">
        <f>IF(E179="","",E179-H179)</f>
        <v/>
      </c>
    </row>
    <row r="180">
      <c r="A180" s="5" t="n"/>
      <c r="B180" s="7" t="n"/>
      <c r="C180">
        <f>IF(A180="","",WEEKDAY(A180,2))</f>
        <v/>
      </c>
      <c r="D180">
        <f>IF(A180="","",A180-MIN($A$5:$A$400)+1)</f>
        <v/>
      </c>
      <c r="E180" s="16">
        <f>IF(OR(A180="",B180&lt;=0),"",LN(B180))</f>
        <v/>
      </c>
      <c r="F180" s="16">
        <f>IF(E180="","",$L$6+$L$5*D180)</f>
        <v/>
      </c>
      <c r="G180" s="16">
        <f>IF(E180="","",E180-F180)</f>
        <v/>
      </c>
      <c r="H180" s="16">
        <f>IF(E180="","",F180+INDEX($L$9:$L$15,C180))</f>
        <v/>
      </c>
      <c r="I180" s="16">
        <f>IF(E180="","",E180-H180)</f>
        <v/>
      </c>
    </row>
    <row r="181">
      <c r="A181" s="5" t="n"/>
      <c r="B181" s="7" t="n"/>
      <c r="C181">
        <f>IF(A181="","",WEEKDAY(A181,2))</f>
        <v/>
      </c>
      <c r="D181">
        <f>IF(A181="","",A181-MIN($A$5:$A$400)+1)</f>
        <v/>
      </c>
      <c r="E181" s="16">
        <f>IF(OR(A181="",B181&lt;=0),"",LN(B181))</f>
        <v/>
      </c>
      <c r="F181" s="16">
        <f>IF(E181="","",$L$6+$L$5*D181)</f>
        <v/>
      </c>
      <c r="G181" s="16">
        <f>IF(E181="","",E181-F181)</f>
        <v/>
      </c>
      <c r="H181" s="16">
        <f>IF(E181="","",F181+INDEX($L$9:$L$15,C181))</f>
        <v/>
      </c>
      <c r="I181" s="16">
        <f>IF(E181="","",E181-H181)</f>
        <v/>
      </c>
    </row>
    <row r="182">
      <c r="A182" s="5" t="n"/>
      <c r="B182" s="7" t="n"/>
      <c r="C182">
        <f>IF(A182="","",WEEKDAY(A182,2))</f>
        <v/>
      </c>
      <c r="D182">
        <f>IF(A182="","",A182-MIN($A$5:$A$400)+1)</f>
        <v/>
      </c>
      <c r="E182" s="16">
        <f>IF(OR(A182="",B182&lt;=0),"",LN(B182))</f>
        <v/>
      </c>
      <c r="F182" s="16">
        <f>IF(E182="","",$L$6+$L$5*D182)</f>
        <v/>
      </c>
      <c r="G182" s="16">
        <f>IF(E182="","",E182-F182)</f>
        <v/>
      </c>
      <c r="H182" s="16">
        <f>IF(E182="","",F182+INDEX($L$9:$L$15,C182))</f>
        <v/>
      </c>
      <c r="I182" s="16">
        <f>IF(E182="","",E182-H182)</f>
        <v/>
      </c>
    </row>
    <row r="183">
      <c r="A183" s="5" t="n"/>
      <c r="B183" s="7" t="n"/>
      <c r="C183">
        <f>IF(A183="","",WEEKDAY(A183,2))</f>
        <v/>
      </c>
      <c r="D183">
        <f>IF(A183="","",A183-MIN($A$5:$A$400)+1)</f>
        <v/>
      </c>
      <c r="E183" s="16">
        <f>IF(OR(A183="",B183&lt;=0),"",LN(B183))</f>
        <v/>
      </c>
      <c r="F183" s="16">
        <f>IF(E183="","",$L$6+$L$5*D183)</f>
        <v/>
      </c>
      <c r="G183" s="16">
        <f>IF(E183="","",E183-F183)</f>
        <v/>
      </c>
      <c r="H183" s="16">
        <f>IF(E183="","",F183+INDEX($L$9:$L$15,C183))</f>
        <v/>
      </c>
      <c r="I183" s="16">
        <f>IF(E183="","",E183-H183)</f>
        <v/>
      </c>
    </row>
    <row r="184">
      <c r="A184" s="5" t="n"/>
      <c r="B184" s="7" t="n"/>
      <c r="C184">
        <f>IF(A184="","",WEEKDAY(A184,2))</f>
        <v/>
      </c>
      <c r="D184">
        <f>IF(A184="","",A184-MIN($A$5:$A$400)+1)</f>
        <v/>
      </c>
      <c r="E184" s="16">
        <f>IF(OR(A184="",B184&lt;=0),"",LN(B184))</f>
        <v/>
      </c>
      <c r="F184" s="16">
        <f>IF(E184="","",$L$6+$L$5*D184)</f>
        <v/>
      </c>
      <c r="G184" s="16">
        <f>IF(E184="","",E184-F184)</f>
        <v/>
      </c>
      <c r="H184" s="16">
        <f>IF(E184="","",F184+INDEX($L$9:$L$15,C184))</f>
        <v/>
      </c>
      <c r="I184" s="16">
        <f>IF(E184="","",E184-H184)</f>
        <v/>
      </c>
    </row>
    <row r="185">
      <c r="A185" s="5" t="n"/>
      <c r="B185" s="7" t="n"/>
      <c r="C185">
        <f>IF(A185="","",WEEKDAY(A185,2))</f>
        <v/>
      </c>
      <c r="D185">
        <f>IF(A185="","",A185-MIN($A$5:$A$400)+1)</f>
        <v/>
      </c>
      <c r="E185" s="16">
        <f>IF(OR(A185="",B185&lt;=0),"",LN(B185))</f>
        <v/>
      </c>
      <c r="F185" s="16">
        <f>IF(E185="","",$L$6+$L$5*D185)</f>
        <v/>
      </c>
      <c r="G185" s="16">
        <f>IF(E185="","",E185-F185)</f>
        <v/>
      </c>
      <c r="H185" s="16">
        <f>IF(E185="","",F185+INDEX($L$9:$L$15,C185))</f>
        <v/>
      </c>
      <c r="I185" s="16">
        <f>IF(E185="","",E185-H185)</f>
        <v/>
      </c>
    </row>
    <row r="186">
      <c r="A186" s="5" t="n"/>
      <c r="B186" s="7" t="n"/>
      <c r="C186">
        <f>IF(A186="","",WEEKDAY(A186,2))</f>
        <v/>
      </c>
      <c r="D186">
        <f>IF(A186="","",A186-MIN($A$5:$A$400)+1)</f>
        <v/>
      </c>
      <c r="E186" s="16">
        <f>IF(OR(A186="",B186&lt;=0),"",LN(B186))</f>
        <v/>
      </c>
      <c r="F186" s="16">
        <f>IF(E186="","",$L$6+$L$5*D186)</f>
        <v/>
      </c>
      <c r="G186" s="16">
        <f>IF(E186="","",E186-F186)</f>
        <v/>
      </c>
      <c r="H186" s="16">
        <f>IF(E186="","",F186+INDEX($L$9:$L$15,C186))</f>
        <v/>
      </c>
      <c r="I186" s="16">
        <f>IF(E186="","",E186-H186)</f>
        <v/>
      </c>
    </row>
    <row r="187">
      <c r="A187" s="5" t="n"/>
      <c r="B187" s="7" t="n"/>
      <c r="C187">
        <f>IF(A187="","",WEEKDAY(A187,2))</f>
        <v/>
      </c>
      <c r="D187">
        <f>IF(A187="","",A187-MIN($A$5:$A$400)+1)</f>
        <v/>
      </c>
      <c r="E187" s="16">
        <f>IF(OR(A187="",B187&lt;=0),"",LN(B187))</f>
        <v/>
      </c>
      <c r="F187" s="16">
        <f>IF(E187="","",$L$6+$L$5*D187)</f>
        <v/>
      </c>
      <c r="G187" s="16">
        <f>IF(E187="","",E187-F187)</f>
        <v/>
      </c>
      <c r="H187" s="16">
        <f>IF(E187="","",F187+INDEX($L$9:$L$15,C187))</f>
        <v/>
      </c>
      <c r="I187" s="16">
        <f>IF(E187="","",E187-H187)</f>
        <v/>
      </c>
    </row>
    <row r="188">
      <c r="A188" s="5" t="n"/>
      <c r="B188" s="7" t="n"/>
      <c r="C188">
        <f>IF(A188="","",WEEKDAY(A188,2))</f>
        <v/>
      </c>
      <c r="D188">
        <f>IF(A188="","",A188-MIN($A$5:$A$400)+1)</f>
        <v/>
      </c>
      <c r="E188" s="16">
        <f>IF(OR(A188="",B188&lt;=0),"",LN(B188))</f>
        <v/>
      </c>
      <c r="F188" s="16">
        <f>IF(E188="","",$L$6+$L$5*D188)</f>
        <v/>
      </c>
      <c r="G188" s="16">
        <f>IF(E188="","",E188-F188)</f>
        <v/>
      </c>
      <c r="H188" s="16">
        <f>IF(E188="","",F188+INDEX($L$9:$L$15,C188))</f>
        <v/>
      </c>
      <c r="I188" s="16">
        <f>IF(E188="","",E188-H188)</f>
        <v/>
      </c>
    </row>
    <row r="189">
      <c r="A189" s="5" t="n"/>
      <c r="B189" s="7" t="n"/>
      <c r="C189">
        <f>IF(A189="","",WEEKDAY(A189,2))</f>
        <v/>
      </c>
      <c r="D189">
        <f>IF(A189="","",A189-MIN($A$5:$A$400)+1)</f>
        <v/>
      </c>
      <c r="E189" s="16">
        <f>IF(OR(A189="",B189&lt;=0),"",LN(B189))</f>
        <v/>
      </c>
      <c r="F189" s="16">
        <f>IF(E189="","",$L$6+$L$5*D189)</f>
        <v/>
      </c>
      <c r="G189" s="16">
        <f>IF(E189="","",E189-F189)</f>
        <v/>
      </c>
      <c r="H189" s="16">
        <f>IF(E189="","",F189+INDEX($L$9:$L$15,C189))</f>
        <v/>
      </c>
      <c r="I189" s="16">
        <f>IF(E189="","",E189-H189)</f>
        <v/>
      </c>
    </row>
    <row r="190">
      <c r="A190" s="5" t="n"/>
      <c r="B190" s="7" t="n"/>
      <c r="C190">
        <f>IF(A190="","",WEEKDAY(A190,2))</f>
        <v/>
      </c>
      <c r="D190">
        <f>IF(A190="","",A190-MIN($A$5:$A$400)+1)</f>
        <v/>
      </c>
      <c r="E190" s="16">
        <f>IF(OR(A190="",B190&lt;=0),"",LN(B190))</f>
        <v/>
      </c>
      <c r="F190" s="16">
        <f>IF(E190="","",$L$6+$L$5*D190)</f>
        <v/>
      </c>
      <c r="G190" s="16">
        <f>IF(E190="","",E190-F190)</f>
        <v/>
      </c>
      <c r="H190" s="16">
        <f>IF(E190="","",F190+INDEX($L$9:$L$15,C190))</f>
        <v/>
      </c>
      <c r="I190" s="16">
        <f>IF(E190="","",E190-H190)</f>
        <v/>
      </c>
    </row>
    <row r="191">
      <c r="A191" s="5" t="n"/>
      <c r="B191" s="7" t="n"/>
      <c r="C191">
        <f>IF(A191="","",WEEKDAY(A191,2))</f>
        <v/>
      </c>
      <c r="D191">
        <f>IF(A191="","",A191-MIN($A$5:$A$400)+1)</f>
        <v/>
      </c>
      <c r="E191" s="16">
        <f>IF(OR(A191="",B191&lt;=0),"",LN(B191))</f>
        <v/>
      </c>
      <c r="F191" s="16">
        <f>IF(E191="","",$L$6+$L$5*D191)</f>
        <v/>
      </c>
      <c r="G191" s="16">
        <f>IF(E191="","",E191-F191)</f>
        <v/>
      </c>
      <c r="H191" s="16">
        <f>IF(E191="","",F191+INDEX($L$9:$L$15,C191))</f>
        <v/>
      </c>
      <c r="I191" s="16">
        <f>IF(E191="","",E191-H191)</f>
        <v/>
      </c>
    </row>
    <row r="192">
      <c r="A192" s="5" t="n"/>
      <c r="B192" s="7" t="n"/>
      <c r="C192">
        <f>IF(A192="","",WEEKDAY(A192,2))</f>
        <v/>
      </c>
      <c r="D192">
        <f>IF(A192="","",A192-MIN($A$5:$A$400)+1)</f>
        <v/>
      </c>
      <c r="E192" s="16">
        <f>IF(OR(A192="",B192&lt;=0),"",LN(B192))</f>
        <v/>
      </c>
      <c r="F192" s="16">
        <f>IF(E192="","",$L$6+$L$5*D192)</f>
        <v/>
      </c>
      <c r="G192" s="16">
        <f>IF(E192="","",E192-F192)</f>
        <v/>
      </c>
      <c r="H192" s="16">
        <f>IF(E192="","",F192+INDEX($L$9:$L$15,C192))</f>
        <v/>
      </c>
      <c r="I192" s="16">
        <f>IF(E192="","",E192-H192)</f>
        <v/>
      </c>
    </row>
    <row r="193">
      <c r="A193" s="5" t="n"/>
      <c r="B193" s="7" t="n"/>
      <c r="C193">
        <f>IF(A193="","",WEEKDAY(A193,2))</f>
        <v/>
      </c>
      <c r="D193">
        <f>IF(A193="","",A193-MIN($A$5:$A$400)+1)</f>
        <v/>
      </c>
      <c r="E193" s="16">
        <f>IF(OR(A193="",B193&lt;=0),"",LN(B193))</f>
        <v/>
      </c>
      <c r="F193" s="16">
        <f>IF(E193="","",$L$6+$L$5*D193)</f>
        <v/>
      </c>
      <c r="G193" s="16">
        <f>IF(E193="","",E193-F193)</f>
        <v/>
      </c>
      <c r="H193" s="16">
        <f>IF(E193="","",F193+INDEX($L$9:$L$15,C193))</f>
        <v/>
      </c>
      <c r="I193" s="16">
        <f>IF(E193="","",E193-H193)</f>
        <v/>
      </c>
    </row>
    <row r="194">
      <c r="A194" s="5" t="n"/>
      <c r="B194" s="7" t="n"/>
      <c r="C194">
        <f>IF(A194="","",WEEKDAY(A194,2))</f>
        <v/>
      </c>
      <c r="D194">
        <f>IF(A194="","",A194-MIN($A$5:$A$400)+1)</f>
        <v/>
      </c>
      <c r="E194" s="16">
        <f>IF(OR(A194="",B194&lt;=0),"",LN(B194))</f>
        <v/>
      </c>
      <c r="F194" s="16">
        <f>IF(E194="","",$L$6+$L$5*D194)</f>
        <v/>
      </c>
      <c r="G194" s="16">
        <f>IF(E194="","",E194-F194)</f>
        <v/>
      </c>
      <c r="H194" s="16">
        <f>IF(E194="","",F194+INDEX($L$9:$L$15,C194))</f>
        <v/>
      </c>
      <c r="I194" s="16">
        <f>IF(E194="","",E194-H194)</f>
        <v/>
      </c>
    </row>
    <row r="195">
      <c r="A195" s="5" t="n"/>
      <c r="B195" s="7" t="n"/>
      <c r="C195">
        <f>IF(A195="","",WEEKDAY(A195,2))</f>
        <v/>
      </c>
      <c r="D195">
        <f>IF(A195="","",A195-MIN($A$5:$A$400)+1)</f>
        <v/>
      </c>
      <c r="E195" s="16">
        <f>IF(OR(A195="",B195&lt;=0),"",LN(B195))</f>
        <v/>
      </c>
      <c r="F195" s="16">
        <f>IF(E195="","",$L$6+$L$5*D195)</f>
        <v/>
      </c>
      <c r="G195" s="16">
        <f>IF(E195="","",E195-F195)</f>
        <v/>
      </c>
      <c r="H195" s="16">
        <f>IF(E195="","",F195+INDEX($L$9:$L$15,C195))</f>
        <v/>
      </c>
      <c r="I195" s="16">
        <f>IF(E195="","",E195-H195)</f>
        <v/>
      </c>
    </row>
    <row r="196">
      <c r="A196" s="5" t="n"/>
      <c r="B196" s="7" t="n"/>
      <c r="C196">
        <f>IF(A196="","",WEEKDAY(A196,2))</f>
        <v/>
      </c>
      <c r="D196">
        <f>IF(A196="","",A196-MIN($A$5:$A$400)+1)</f>
        <v/>
      </c>
      <c r="E196" s="16">
        <f>IF(OR(A196="",B196&lt;=0),"",LN(B196))</f>
        <v/>
      </c>
      <c r="F196" s="16">
        <f>IF(E196="","",$L$6+$L$5*D196)</f>
        <v/>
      </c>
      <c r="G196" s="16">
        <f>IF(E196="","",E196-F196)</f>
        <v/>
      </c>
      <c r="H196" s="16">
        <f>IF(E196="","",F196+INDEX($L$9:$L$15,C196))</f>
        <v/>
      </c>
      <c r="I196" s="16">
        <f>IF(E196="","",E196-H196)</f>
        <v/>
      </c>
    </row>
    <row r="197">
      <c r="A197" s="5" t="n"/>
      <c r="B197" s="7" t="n"/>
      <c r="C197">
        <f>IF(A197="","",WEEKDAY(A197,2))</f>
        <v/>
      </c>
      <c r="D197">
        <f>IF(A197="","",A197-MIN($A$5:$A$400)+1)</f>
        <v/>
      </c>
      <c r="E197" s="16">
        <f>IF(OR(A197="",B197&lt;=0),"",LN(B197))</f>
        <v/>
      </c>
      <c r="F197" s="16">
        <f>IF(E197="","",$L$6+$L$5*D197)</f>
        <v/>
      </c>
      <c r="G197" s="16">
        <f>IF(E197="","",E197-F197)</f>
        <v/>
      </c>
      <c r="H197" s="16">
        <f>IF(E197="","",F197+INDEX($L$9:$L$15,C197))</f>
        <v/>
      </c>
      <c r="I197" s="16">
        <f>IF(E197="","",E197-H197)</f>
        <v/>
      </c>
    </row>
    <row r="198">
      <c r="A198" s="5" t="n"/>
      <c r="B198" s="7" t="n"/>
      <c r="C198">
        <f>IF(A198="","",WEEKDAY(A198,2))</f>
        <v/>
      </c>
      <c r="D198">
        <f>IF(A198="","",A198-MIN($A$5:$A$400)+1)</f>
        <v/>
      </c>
      <c r="E198" s="16">
        <f>IF(OR(A198="",B198&lt;=0),"",LN(B198))</f>
        <v/>
      </c>
      <c r="F198" s="16">
        <f>IF(E198="","",$L$6+$L$5*D198)</f>
        <v/>
      </c>
      <c r="G198" s="16">
        <f>IF(E198="","",E198-F198)</f>
        <v/>
      </c>
      <c r="H198" s="16">
        <f>IF(E198="","",F198+INDEX($L$9:$L$15,C198))</f>
        <v/>
      </c>
      <c r="I198" s="16">
        <f>IF(E198="","",E198-H198)</f>
        <v/>
      </c>
    </row>
    <row r="199">
      <c r="A199" s="5" t="n"/>
      <c r="B199" s="7" t="n"/>
      <c r="C199">
        <f>IF(A199="","",WEEKDAY(A199,2))</f>
        <v/>
      </c>
      <c r="D199">
        <f>IF(A199="","",A199-MIN($A$5:$A$400)+1)</f>
        <v/>
      </c>
      <c r="E199" s="16">
        <f>IF(OR(A199="",B199&lt;=0),"",LN(B199))</f>
        <v/>
      </c>
      <c r="F199" s="16">
        <f>IF(E199="","",$L$6+$L$5*D199)</f>
        <v/>
      </c>
      <c r="G199" s="16">
        <f>IF(E199="","",E199-F199)</f>
        <v/>
      </c>
      <c r="H199" s="16">
        <f>IF(E199="","",F199+INDEX($L$9:$L$15,C199))</f>
        <v/>
      </c>
      <c r="I199" s="16">
        <f>IF(E199="","",E199-H199)</f>
        <v/>
      </c>
    </row>
    <row r="200">
      <c r="A200" s="5" t="n"/>
      <c r="B200" s="7" t="n"/>
      <c r="C200">
        <f>IF(A200="","",WEEKDAY(A200,2))</f>
        <v/>
      </c>
      <c r="D200">
        <f>IF(A200="","",A200-MIN($A$5:$A$400)+1)</f>
        <v/>
      </c>
      <c r="E200" s="16">
        <f>IF(OR(A200="",B200&lt;=0),"",LN(B200))</f>
        <v/>
      </c>
      <c r="F200" s="16">
        <f>IF(E200="","",$L$6+$L$5*D200)</f>
        <v/>
      </c>
      <c r="G200" s="16">
        <f>IF(E200="","",E200-F200)</f>
        <v/>
      </c>
      <c r="H200" s="16">
        <f>IF(E200="","",F200+INDEX($L$9:$L$15,C200))</f>
        <v/>
      </c>
      <c r="I200" s="16">
        <f>IF(E200="","",E200-H200)</f>
        <v/>
      </c>
    </row>
    <row r="201">
      <c r="A201" s="5" t="n"/>
      <c r="B201" s="7" t="n"/>
      <c r="C201">
        <f>IF(A201="","",WEEKDAY(A201,2))</f>
        <v/>
      </c>
      <c r="D201">
        <f>IF(A201="","",A201-MIN($A$5:$A$400)+1)</f>
        <v/>
      </c>
      <c r="E201" s="16">
        <f>IF(OR(A201="",B201&lt;=0),"",LN(B201))</f>
        <v/>
      </c>
      <c r="F201" s="16">
        <f>IF(E201="","",$L$6+$L$5*D201)</f>
        <v/>
      </c>
      <c r="G201" s="16">
        <f>IF(E201="","",E201-F201)</f>
        <v/>
      </c>
      <c r="H201" s="16">
        <f>IF(E201="","",F201+INDEX($L$9:$L$15,C201))</f>
        <v/>
      </c>
      <c r="I201" s="16">
        <f>IF(E201="","",E201-H201)</f>
        <v/>
      </c>
    </row>
    <row r="202">
      <c r="A202" s="5" t="n"/>
      <c r="B202" s="7" t="n"/>
      <c r="C202">
        <f>IF(A202="","",WEEKDAY(A202,2))</f>
        <v/>
      </c>
      <c r="D202">
        <f>IF(A202="","",A202-MIN($A$5:$A$400)+1)</f>
        <v/>
      </c>
      <c r="E202" s="16">
        <f>IF(OR(A202="",B202&lt;=0),"",LN(B202))</f>
        <v/>
      </c>
      <c r="F202" s="16">
        <f>IF(E202="","",$L$6+$L$5*D202)</f>
        <v/>
      </c>
      <c r="G202" s="16">
        <f>IF(E202="","",E202-F202)</f>
        <v/>
      </c>
      <c r="H202" s="16">
        <f>IF(E202="","",F202+INDEX($L$9:$L$15,C202))</f>
        <v/>
      </c>
      <c r="I202" s="16">
        <f>IF(E202="","",E202-H202)</f>
        <v/>
      </c>
    </row>
    <row r="203">
      <c r="A203" s="5" t="n"/>
      <c r="B203" s="7" t="n"/>
      <c r="C203">
        <f>IF(A203="","",WEEKDAY(A203,2))</f>
        <v/>
      </c>
      <c r="D203">
        <f>IF(A203="","",A203-MIN($A$5:$A$400)+1)</f>
        <v/>
      </c>
      <c r="E203" s="16">
        <f>IF(OR(A203="",B203&lt;=0),"",LN(B203))</f>
        <v/>
      </c>
      <c r="F203" s="16">
        <f>IF(E203="","",$L$6+$L$5*D203)</f>
        <v/>
      </c>
      <c r="G203" s="16">
        <f>IF(E203="","",E203-F203)</f>
        <v/>
      </c>
      <c r="H203" s="16">
        <f>IF(E203="","",F203+INDEX($L$9:$L$15,C203))</f>
        <v/>
      </c>
      <c r="I203" s="16">
        <f>IF(E203="","",E203-H203)</f>
        <v/>
      </c>
    </row>
    <row r="204">
      <c r="A204" s="5" t="n"/>
      <c r="B204" s="7" t="n"/>
      <c r="C204">
        <f>IF(A204="","",WEEKDAY(A204,2))</f>
        <v/>
      </c>
      <c r="D204">
        <f>IF(A204="","",A204-MIN($A$5:$A$400)+1)</f>
        <v/>
      </c>
      <c r="E204" s="16">
        <f>IF(OR(A204="",B204&lt;=0),"",LN(B204))</f>
        <v/>
      </c>
      <c r="F204" s="16">
        <f>IF(E204="","",$L$6+$L$5*D204)</f>
        <v/>
      </c>
      <c r="G204" s="16">
        <f>IF(E204="","",E204-F204)</f>
        <v/>
      </c>
      <c r="H204" s="16">
        <f>IF(E204="","",F204+INDEX($L$9:$L$15,C204))</f>
        <v/>
      </c>
      <c r="I204" s="16">
        <f>IF(E204="","",E204-H204)</f>
        <v/>
      </c>
    </row>
    <row r="205">
      <c r="A205" s="5" t="n"/>
      <c r="B205" s="7" t="n"/>
      <c r="C205">
        <f>IF(A205="","",WEEKDAY(A205,2))</f>
        <v/>
      </c>
      <c r="D205">
        <f>IF(A205="","",A205-MIN($A$5:$A$400)+1)</f>
        <v/>
      </c>
      <c r="E205" s="16">
        <f>IF(OR(A205="",B205&lt;=0),"",LN(B205))</f>
        <v/>
      </c>
      <c r="F205" s="16">
        <f>IF(E205="","",$L$6+$L$5*D205)</f>
        <v/>
      </c>
      <c r="G205" s="16">
        <f>IF(E205="","",E205-F205)</f>
        <v/>
      </c>
      <c r="H205" s="16">
        <f>IF(E205="","",F205+INDEX($L$9:$L$15,C205))</f>
        <v/>
      </c>
      <c r="I205" s="16">
        <f>IF(E205="","",E205-H205)</f>
        <v/>
      </c>
    </row>
    <row r="206">
      <c r="A206" s="5" t="n"/>
      <c r="B206" s="7" t="n"/>
      <c r="C206">
        <f>IF(A206="","",WEEKDAY(A206,2))</f>
        <v/>
      </c>
      <c r="D206">
        <f>IF(A206="","",A206-MIN($A$5:$A$400)+1)</f>
        <v/>
      </c>
      <c r="E206" s="16">
        <f>IF(OR(A206="",B206&lt;=0),"",LN(B206))</f>
        <v/>
      </c>
      <c r="F206" s="16">
        <f>IF(E206="","",$L$6+$L$5*D206)</f>
        <v/>
      </c>
      <c r="G206" s="16">
        <f>IF(E206="","",E206-F206)</f>
        <v/>
      </c>
      <c r="H206" s="16">
        <f>IF(E206="","",F206+INDEX($L$9:$L$15,C206))</f>
        <v/>
      </c>
      <c r="I206" s="16">
        <f>IF(E206="","",E206-H206)</f>
        <v/>
      </c>
    </row>
    <row r="207">
      <c r="A207" s="5" t="n"/>
      <c r="B207" s="7" t="n"/>
      <c r="C207">
        <f>IF(A207="","",WEEKDAY(A207,2))</f>
        <v/>
      </c>
      <c r="D207">
        <f>IF(A207="","",A207-MIN($A$5:$A$400)+1)</f>
        <v/>
      </c>
      <c r="E207" s="16">
        <f>IF(OR(A207="",B207&lt;=0),"",LN(B207))</f>
        <v/>
      </c>
      <c r="F207" s="16">
        <f>IF(E207="","",$L$6+$L$5*D207)</f>
        <v/>
      </c>
      <c r="G207" s="16">
        <f>IF(E207="","",E207-F207)</f>
        <v/>
      </c>
      <c r="H207" s="16">
        <f>IF(E207="","",F207+INDEX($L$9:$L$15,C207))</f>
        <v/>
      </c>
      <c r="I207" s="16">
        <f>IF(E207="","",E207-H207)</f>
        <v/>
      </c>
    </row>
    <row r="208">
      <c r="A208" s="5" t="n"/>
      <c r="B208" s="7" t="n"/>
      <c r="C208">
        <f>IF(A208="","",WEEKDAY(A208,2))</f>
        <v/>
      </c>
      <c r="D208">
        <f>IF(A208="","",A208-MIN($A$5:$A$400)+1)</f>
        <v/>
      </c>
      <c r="E208" s="16">
        <f>IF(OR(A208="",B208&lt;=0),"",LN(B208))</f>
        <v/>
      </c>
      <c r="F208" s="16">
        <f>IF(E208="","",$L$6+$L$5*D208)</f>
        <v/>
      </c>
      <c r="G208" s="16">
        <f>IF(E208="","",E208-F208)</f>
        <v/>
      </c>
      <c r="H208" s="16">
        <f>IF(E208="","",F208+INDEX($L$9:$L$15,C208))</f>
        <v/>
      </c>
      <c r="I208" s="16">
        <f>IF(E208="","",E208-H208)</f>
        <v/>
      </c>
    </row>
    <row r="209">
      <c r="A209" s="5" t="n"/>
      <c r="B209" s="7" t="n"/>
      <c r="C209">
        <f>IF(A209="","",WEEKDAY(A209,2))</f>
        <v/>
      </c>
      <c r="D209">
        <f>IF(A209="","",A209-MIN($A$5:$A$400)+1)</f>
        <v/>
      </c>
      <c r="E209" s="16">
        <f>IF(OR(A209="",B209&lt;=0),"",LN(B209))</f>
        <v/>
      </c>
      <c r="F209" s="16">
        <f>IF(E209="","",$L$6+$L$5*D209)</f>
        <v/>
      </c>
      <c r="G209" s="16">
        <f>IF(E209="","",E209-F209)</f>
        <v/>
      </c>
      <c r="H209" s="16">
        <f>IF(E209="","",F209+INDEX($L$9:$L$15,C209))</f>
        <v/>
      </c>
      <c r="I209" s="16">
        <f>IF(E209="","",E209-H209)</f>
        <v/>
      </c>
    </row>
    <row r="210">
      <c r="A210" s="5" t="n"/>
      <c r="B210" s="7" t="n"/>
      <c r="C210">
        <f>IF(A210="","",WEEKDAY(A210,2))</f>
        <v/>
      </c>
      <c r="D210">
        <f>IF(A210="","",A210-MIN($A$5:$A$400)+1)</f>
        <v/>
      </c>
      <c r="E210" s="16">
        <f>IF(OR(A210="",B210&lt;=0),"",LN(B210))</f>
        <v/>
      </c>
      <c r="F210" s="16">
        <f>IF(E210="","",$L$6+$L$5*D210)</f>
        <v/>
      </c>
      <c r="G210" s="16">
        <f>IF(E210="","",E210-F210)</f>
        <v/>
      </c>
      <c r="H210" s="16">
        <f>IF(E210="","",F210+INDEX($L$9:$L$15,C210))</f>
        <v/>
      </c>
      <c r="I210" s="16">
        <f>IF(E210="","",E210-H210)</f>
        <v/>
      </c>
    </row>
    <row r="211">
      <c r="A211" s="5" t="n"/>
      <c r="B211" s="7" t="n"/>
      <c r="C211">
        <f>IF(A211="","",WEEKDAY(A211,2))</f>
        <v/>
      </c>
      <c r="D211">
        <f>IF(A211="","",A211-MIN($A$5:$A$400)+1)</f>
        <v/>
      </c>
      <c r="E211" s="16">
        <f>IF(OR(A211="",B211&lt;=0),"",LN(B211))</f>
        <v/>
      </c>
      <c r="F211" s="16">
        <f>IF(E211="","",$L$6+$L$5*D211)</f>
        <v/>
      </c>
      <c r="G211" s="16">
        <f>IF(E211="","",E211-F211)</f>
        <v/>
      </c>
      <c r="H211" s="16">
        <f>IF(E211="","",F211+INDEX($L$9:$L$15,C211))</f>
        <v/>
      </c>
      <c r="I211" s="16">
        <f>IF(E211="","",E211-H211)</f>
        <v/>
      </c>
    </row>
    <row r="212">
      <c r="A212" s="5" t="n"/>
      <c r="B212" s="7" t="n"/>
      <c r="C212">
        <f>IF(A212="","",WEEKDAY(A212,2))</f>
        <v/>
      </c>
      <c r="D212">
        <f>IF(A212="","",A212-MIN($A$5:$A$400)+1)</f>
        <v/>
      </c>
      <c r="E212" s="16">
        <f>IF(OR(A212="",B212&lt;=0),"",LN(B212))</f>
        <v/>
      </c>
      <c r="F212" s="16">
        <f>IF(E212="","",$L$6+$L$5*D212)</f>
        <v/>
      </c>
      <c r="G212" s="16">
        <f>IF(E212="","",E212-F212)</f>
        <v/>
      </c>
      <c r="H212" s="16">
        <f>IF(E212="","",F212+INDEX($L$9:$L$15,C212))</f>
        <v/>
      </c>
      <c r="I212" s="16">
        <f>IF(E212="","",E212-H212)</f>
        <v/>
      </c>
    </row>
    <row r="213">
      <c r="A213" s="5" t="n"/>
      <c r="B213" s="7" t="n"/>
      <c r="C213">
        <f>IF(A213="","",WEEKDAY(A213,2))</f>
        <v/>
      </c>
      <c r="D213">
        <f>IF(A213="","",A213-MIN($A$5:$A$400)+1)</f>
        <v/>
      </c>
      <c r="E213" s="16">
        <f>IF(OR(A213="",B213&lt;=0),"",LN(B213))</f>
        <v/>
      </c>
      <c r="F213" s="16">
        <f>IF(E213="","",$L$6+$L$5*D213)</f>
        <v/>
      </c>
      <c r="G213" s="16">
        <f>IF(E213="","",E213-F213)</f>
        <v/>
      </c>
      <c r="H213" s="16">
        <f>IF(E213="","",F213+INDEX($L$9:$L$15,C213))</f>
        <v/>
      </c>
      <c r="I213" s="16">
        <f>IF(E213="","",E213-H213)</f>
        <v/>
      </c>
    </row>
    <row r="214">
      <c r="A214" s="5" t="n"/>
      <c r="B214" s="7" t="n"/>
      <c r="C214">
        <f>IF(A214="","",WEEKDAY(A214,2))</f>
        <v/>
      </c>
      <c r="D214">
        <f>IF(A214="","",A214-MIN($A$5:$A$400)+1)</f>
        <v/>
      </c>
      <c r="E214" s="16">
        <f>IF(OR(A214="",B214&lt;=0),"",LN(B214))</f>
        <v/>
      </c>
      <c r="F214" s="16">
        <f>IF(E214="","",$L$6+$L$5*D214)</f>
        <v/>
      </c>
      <c r="G214" s="16">
        <f>IF(E214="","",E214-F214)</f>
        <v/>
      </c>
      <c r="H214" s="16">
        <f>IF(E214="","",F214+INDEX($L$9:$L$15,C214))</f>
        <v/>
      </c>
      <c r="I214" s="16">
        <f>IF(E214="","",E214-H214)</f>
        <v/>
      </c>
    </row>
    <row r="215">
      <c r="A215" s="5" t="n"/>
      <c r="B215" s="7" t="n"/>
      <c r="C215">
        <f>IF(A215="","",WEEKDAY(A215,2))</f>
        <v/>
      </c>
      <c r="D215">
        <f>IF(A215="","",A215-MIN($A$5:$A$400)+1)</f>
        <v/>
      </c>
      <c r="E215" s="16">
        <f>IF(OR(A215="",B215&lt;=0),"",LN(B215))</f>
        <v/>
      </c>
      <c r="F215" s="16">
        <f>IF(E215="","",$L$6+$L$5*D215)</f>
        <v/>
      </c>
      <c r="G215" s="16">
        <f>IF(E215="","",E215-F215)</f>
        <v/>
      </c>
      <c r="H215" s="16">
        <f>IF(E215="","",F215+INDEX($L$9:$L$15,C215))</f>
        <v/>
      </c>
      <c r="I215" s="16">
        <f>IF(E215="","",E215-H215)</f>
        <v/>
      </c>
    </row>
    <row r="216">
      <c r="A216" s="5" t="n"/>
      <c r="B216" s="7" t="n"/>
      <c r="C216">
        <f>IF(A216="","",WEEKDAY(A216,2))</f>
        <v/>
      </c>
      <c r="D216">
        <f>IF(A216="","",A216-MIN($A$5:$A$400)+1)</f>
        <v/>
      </c>
      <c r="E216" s="16">
        <f>IF(OR(A216="",B216&lt;=0),"",LN(B216))</f>
        <v/>
      </c>
      <c r="F216" s="16">
        <f>IF(E216="","",$L$6+$L$5*D216)</f>
        <v/>
      </c>
      <c r="G216" s="16">
        <f>IF(E216="","",E216-F216)</f>
        <v/>
      </c>
      <c r="H216" s="16">
        <f>IF(E216="","",F216+INDEX($L$9:$L$15,C216))</f>
        <v/>
      </c>
      <c r="I216" s="16">
        <f>IF(E216="","",E216-H216)</f>
        <v/>
      </c>
    </row>
    <row r="217">
      <c r="A217" s="5" t="n"/>
      <c r="B217" s="7" t="n"/>
      <c r="C217">
        <f>IF(A217="","",WEEKDAY(A217,2))</f>
        <v/>
      </c>
      <c r="D217">
        <f>IF(A217="","",A217-MIN($A$5:$A$400)+1)</f>
        <v/>
      </c>
      <c r="E217" s="16">
        <f>IF(OR(A217="",B217&lt;=0),"",LN(B217))</f>
        <v/>
      </c>
      <c r="F217" s="16">
        <f>IF(E217="","",$L$6+$L$5*D217)</f>
        <v/>
      </c>
      <c r="G217" s="16">
        <f>IF(E217="","",E217-F217)</f>
        <v/>
      </c>
      <c r="H217" s="16">
        <f>IF(E217="","",F217+INDEX($L$9:$L$15,C217))</f>
        <v/>
      </c>
      <c r="I217" s="16">
        <f>IF(E217="","",E217-H217)</f>
        <v/>
      </c>
    </row>
    <row r="218">
      <c r="A218" s="5" t="n"/>
      <c r="B218" s="7" t="n"/>
      <c r="C218">
        <f>IF(A218="","",WEEKDAY(A218,2))</f>
        <v/>
      </c>
      <c r="D218">
        <f>IF(A218="","",A218-MIN($A$5:$A$400)+1)</f>
        <v/>
      </c>
      <c r="E218" s="16">
        <f>IF(OR(A218="",B218&lt;=0),"",LN(B218))</f>
        <v/>
      </c>
      <c r="F218" s="16">
        <f>IF(E218="","",$L$6+$L$5*D218)</f>
        <v/>
      </c>
      <c r="G218" s="16">
        <f>IF(E218="","",E218-F218)</f>
        <v/>
      </c>
      <c r="H218" s="16">
        <f>IF(E218="","",F218+INDEX($L$9:$L$15,C218))</f>
        <v/>
      </c>
      <c r="I218" s="16">
        <f>IF(E218="","",E218-H218)</f>
        <v/>
      </c>
    </row>
    <row r="219">
      <c r="A219" s="5" t="n"/>
      <c r="B219" s="7" t="n"/>
      <c r="C219">
        <f>IF(A219="","",WEEKDAY(A219,2))</f>
        <v/>
      </c>
      <c r="D219">
        <f>IF(A219="","",A219-MIN($A$5:$A$400)+1)</f>
        <v/>
      </c>
      <c r="E219" s="16">
        <f>IF(OR(A219="",B219&lt;=0),"",LN(B219))</f>
        <v/>
      </c>
      <c r="F219" s="16">
        <f>IF(E219="","",$L$6+$L$5*D219)</f>
        <v/>
      </c>
      <c r="G219" s="16">
        <f>IF(E219="","",E219-F219)</f>
        <v/>
      </c>
      <c r="H219" s="16">
        <f>IF(E219="","",F219+INDEX($L$9:$L$15,C219))</f>
        <v/>
      </c>
      <c r="I219" s="16">
        <f>IF(E219="","",E219-H219)</f>
        <v/>
      </c>
    </row>
    <row r="220">
      <c r="A220" s="5" t="n"/>
      <c r="B220" s="7" t="n"/>
      <c r="C220">
        <f>IF(A220="","",WEEKDAY(A220,2))</f>
        <v/>
      </c>
      <c r="D220">
        <f>IF(A220="","",A220-MIN($A$5:$A$400)+1)</f>
        <v/>
      </c>
      <c r="E220" s="16">
        <f>IF(OR(A220="",B220&lt;=0),"",LN(B220))</f>
        <v/>
      </c>
      <c r="F220" s="16">
        <f>IF(E220="","",$L$6+$L$5*D220)</f>
        <v/>
      </c>
      <c r="G220" s="16">
        <f>IF(E220="","",E220-F220)</f>
        <v/>
      </c>
      <c r="H220" s="16">
        <f>IF(E220="","",F220+INDEX($L$9:$L$15,C220))</f>
        <v/>
      </c>
      <c r="I220" s="16">
        <f>IF(E220="","",E220-H220)</f>
        <v/>
      </c>
    </row>
    <row r="221">
      <c r="A221" s="5" t="n"/>
      <c r="B221" s="7" t="n"/>
      <c r="C221">
        <f>IF(A221="","",WEEKDAY(A221,2))</f>
        <v/>
      </c>
      <c r="D221">
        <f>IF(A221="","",A221-MIN($A$5:$A$400)+1)</f>
        <v/>
      </c>
      <c r="E221" s="16">
        <f>IF(OR(A221="",B221&lt;=0),"",LN(B221))</f>
        <v/>
      </c>
      <c r="F221" s="16">
        <f>IF(E221="","",$L$6+$L$5*D221)</f>
        <v/>
      </c>
      <c r="G221" s="16">
        <f>IF(E221="","",E221-F221)</f>
        <v/>
      </c>
      <c r="H221" s="16">
        <f>IF(E221="","",F221+INDEX($L$9:$L$15,C221))</f>
        <v/>
      </c>
      <c r="I221" s="16">
        <f>IF(E221="","",E221-H221)</f>
        <v/>
      </c>
    </row>
    <row r="222">
      <c r="A222" s="5" t="n"/>
      <c r="B222" s="7" t="n"/>
      <c r="C222">
        <f>IF(A222="","",WEEKDAY(A222,2))</f>
        <v/>
      </c>
      <c r="D222">
        <f>IF(A222="","",A222-MIN($A$5:$A$400)+1)</f>
        <v/>
      </c>
      <c r="E222" s="16">
        <f>IF(OR(A222="",B222&lt;=0),"",LN(B222))</f>
        <v/>
      </c>
      <c r="F222" s="16">
        <f>IF(E222="","",$L$6+$L$5*D222)</f>
        <v/>
      </c>
      <c r="G222" s="16">
        <f>IF(E222="","",E222-F222)</f>
        <v/>
      </c>
      <c r="H222" s="16">
        <f>IF(E222="","",F222+INDEX($L$9:$L$15,C222))</f>
        <v/>
      </c>
      <c r="I222" s="16">
        <f>IF(E222="","",E222-H222)</f>
        <v/>
      </c>
    </row>
    <row r="223">
      <c r="A223" s="5" t="n"/>
      <c r="B223" s="7" t="n"/>
      <c r="C223">
        <f>IF(A223="","",WEEKDAY(A223,2))</f>
        <v/>
      </c>
      <c r="D223">
        <f>IF(A223="","",A223-MIN($A$5:$A$400)+1)</f>
        <v/>
      </c>
      <c r="E223" s="16">
        <f>IF(OR(A223="",B223&lt;=0),"",LN(B223))</f>
        <v/>
      </c>
      <c r="F223" s="16">
        <f>IF(E223="","",$L$6+$L$5*D223)</f>
        <v/>
      </c>
      <c r="G223" s="16">
        <f>IF(E223="","",E223-F223)</f>
        <v/>
      </c>
      <c r="H223" s="16">
        <f>IF(E223="","",F223+INDEX($L$9:$L$15,C223))</f>
        <v/>
      </c>
      <c r="I223" s="16">
        <f>IF(E223="","",E223-H223)</f>
        <v/>
      </c>
    </row>
    <row r="224">
      <c r="A224" s="5" t="n"/>
      <c r="B224" s="7" t="n"/>
      <c r="C224">
        <f>IF(A224="","",WEEKDAY(A224,2))</f>
        <v/>
      </c>
      <c r="D224">
        <f>IF(A224="","",A224-MIN($A$5:$A$400)+1)</f>
        <v/>
      </c>
      <c r="E224" s="16">
        <f>IF(OR(A224="",B224&lt;=0),"",LN(B224))</f>
        <v/>
      </c>
      <c r="F224" s="16">
        <f>IF(E224="","",$L$6+$L$5*D224)</f>
        <v/>
      </c>
      <c r="G224" s="16">
        <f>IF(E224="","",E224-F224)</f>
        <v/>
      </c>
      <c r="H224" s="16">
        <f>IF(E224="","",F224+INDEX($L$9:$L$15,C224))</f>
        <v/>
      </c>
      <c r="I224" s="16">
        <f>IF(E224="","",E224-H224)</f>
        <v/>
      </c>
    </row>
    <row r="225">
      <c r="A225" s="5" t="n"/>
      <c r="B225" s="7" t="n"/>
      <c r="C225">
        <f>IF(A225="","",WEEKDAY(A225,2))</f>
        <v/>
      </c>
      <c r="D225">
        <f>IF(A225="","",A225-MIN($A$5:$A$400)+1)</f>
        <v/>
      </c>
      <c r="E225" s="16">
        <f>IF(OR(A225="",B225&lt;=0),"",LN(B225))</f>
        <v/>
      </c>
      <c r="F225" s="16">
        <f>IF(E225="","",$L$6+$L$5*D225)</f>
        <v/>
      </c>
      <c r="G225" s="16">
        <f>IF(E225="","",E225-F225)</f>
        <v/>
      </c>
      <c r="H225" s="16">
        <f>IF(E225="","",F225+INDEX($L$9:$L$15,C225))</f>
        <v/>
      </c>
      <c r="I225" s="16">
        <f>IF(E225="","",E225-H225)</f>
        <v/>
      </c>
    </row>
    <row r="226">
      <c r="A226" s="5" t="n"/>
      <c r="B226" s="7" t="n"/>
      <c r="C226">
        <f>IF(A226="","",WEEKDAY(A226,2))</f>
        <v/>
      </c>
      <c r="D226">
        <f>IF(A226="","",A226-MIN($A$5:$A$400)+1)</f>
        <v/>
      </c>
      <c r="E226" s="16">
        <f>IF(OR(A226="",B226&lt;=0),"",LN(B226))</f>
        <v/>
      </c>
      <c r="F226" s="16">
        <f>IF(E226="","",$L$6+$L$5*D226)</f>
        <v/>
      </c>
      <c r="G226" s="16">
        <f>IF(E226="","",E226-F226)</f>
        <v/>
      </c>
      <c r="H226" s="16">
        <f>IF(E226="","",F226+INDEX($L$9:$L$15,C226))</f>
        <v/>
      </c>
      <c r="I226" s="16">
        <f>IF(E226="","",E226-H226)</f>
        <v/>
      </c>
    </row>
    <row r="227">
      <c r="A227" s="5" t="n"/>
      <c r="B227" s="7" t="n"/>
      <c r="C227">
        <f>IF(A227="","",WEEKDAY(A227,2))</f>
        <v/>
      </c>
      <c r="D227">
        <f>IF(A227="","",A227-MIN($A$5:$A$400)+1)</f>
        <v/>
      </c>
      <c r="E227" s="16">
        <f>IF(OR(A227="",B227&lt;=0),"",LN(B227))</f>
        <v/>
      </c>
      <c r="F227" s="16">
        <f>IF(E227="","",$L$6+$L$5*D227)</f>
        <v/>
      </c>
      <c r="G227" s="16">
        <f>IF(E227="","",E227-F227)</f>
        <v/>
      </c>
      <c r="H227" s="16">
        <f>IF(E227="","",F227+INDEX($L$9:$L$15,C227))</f>
        <v/>
      </c>
      <c r="I227" s="16">
        <f>IF(E227="","",E227-H227)</f>
        <v/>
      </c>
    </row>
    <row r="228">
      <c r="A228" s="5" t="n"/>
      <c r="B228" s="7" t="n"/>
      <c r="C228">
        <f>IF(A228="","",WEEKDAY(A228,2))</f>
        <v/>
      </c>
      <c r="D228">
        <f>IF(A228="","",A228-MIN($A$5:$A$400)+1)</f>
        <v/>
      </c>
      <c r="E228" s="16">
        <f>IF(OR(A228="",B228&lt;=0),"",LN(B228))</f>
        <v/>
      </c>
      <c r="F228" s="16">
        <f>IF(E228="","",$L$6+$L$5*D228)</f>
        <v/>
      </c>
      <c r="G228" s="16">
        <f>IF(E228="","",E228-F228)</f>
        <v/>
      </c>
      <c r="H228" s="16">
        <f>IF(E228="","",F228+INDEX($L$9:$L$15,C228))</f>
        <v/>
      </c>
      <c r="I228" s="16">
        <f>IF(E228="","",E228-H228)</f>
        <v/>
      </c>
    </row>
    <row r="229">
      <c r="A229" s="5" t="n"/>
      <c r="B229" s="7" t="n"/>
      <c r="C229">
        <f>IF(A229="","",WEEKDAY(A229,2))</f>
        <v/>
      </c>
      <c r="D229">
        <f>IF(A229="","",A229-MIN($A$5:$A$400)+1)</f>
        <v/>
      </c>
      <c r="E229" s="16">
        <f>IF(OR(A229="",B229&lt;=0),"",LN(B229))</f>
        <v/>
      </c>
      <c r="F229" s="16">
        <f>IF(E229="","",$L$6+$L$5*D229)</f>
        <v/>
      </c>
      <c r="G229" s="16">
        <f>IF(E229="","",E229-F229)</f>
        <v/>
      </c>
      <c r="H229" s="16">
        <f>IF(E229="","",F229+INDEX($L$9:$L$15,C229))</f>
        <v/>
      </c>
      <c r="I229" s="16">
        <f>IF(E229="","",E229-H229)</f>
        <v/>
      </c>
    </row>
    <row r="230">
      <c r="A230" s="5" t="n"/>
      <c r="B230" s="7" t="n"/>
      <c r="C230">
        <f>IF(A230="","",WEEKDAY(A230,2))</f>
        <v/>
      </c>
      <c r="D230">
        <f>IF(A230="","",A230-MIN($A$5:$A$400)+1)</f>
        <v/>
      </c>
      <c r="E230" s="16">
        <f>IF(OR(A230="",B230&lt;=0),"",LN(B230))</f>
        <v/>
      </c>
      <c r="F230" s="16">
        <f>IF(E230="","",$L$6+$L$5*D230)</f>
        <v/>
      </c>
      <c r="G230" s="16">
        <f>IF(E230="","",E230-F230)</f>
        <v/>
      </c>
      <c r="H230" s="16">
        <f>IF(E230="","",F230+INDEX($L$9:$L$15,C230))</f>
        <v/>
      </c>
      <c r="I230" s="16">
        <f>IF(E230="","",E230-H230)</f>
        <v/>
      </c>
    </row>
    <row r="231">
      <c r="A231" s="5" t="n"/>
      <c r="B231" s="7" t="n"/>
      <c r="C231">
        <f>IF(A231="","",WEEKDAY(A231,2))</f>
        <v/>
      </c>
      <c r="D231">
        <f>IF(A231="","",A231-MIN($A$5:$A$400)+1)</f>
        <v/>
      </c>
      <c r="E231" s="16">
        <f>IF(OR(A231="",B231&lt;=0),"",LN(B231))</f>
        <v/>
      </c>
      <c r="F231" s="16">
        <f>IF(E231="","",$L$6+$L$5*D231)</f>
        <v/>
      </c>
      <c r="G231" s="16">
        <f>IF(E231="","",E231-F231)</f>
        <v/>
      </c>
      <c r="H231" s="16">
        <f>IF(E231="","",F231+INDEX($L$9:$L$15,C231))</f>
        <v/>
      </c>
      <c r="I231" s="16">
        <f>IF(E231="","",E231-H231)</f>
        <v/>
      </c>
    </row>
    <row r="232">
      <c r="A232" s="5" t="n"/>
      <c r="B232" s="7" t="n"/>
      <c r="C232">
        <f>IF(A232="","",WEEKDAY(A232,2))</f>
        <v/>
      </c>
      <c r="D232">
        <f>IF(A232="","",A232-MIN($A$5:$A$400)+1)</f>
        <v/>
      </c>
      <c r="E232" s="16">
        <f>IF(OR(A232="",B232&lt;=0),"",LN(B232))</f>
        <v/>
      </c>
      <c r="F232" s="16">
        <f>IF(E232="","",$L$6+$L$5*D232)</f>
        <v/>
      </c>
      <c r="G232" s="16">
        <f>IF(E232="","",E232-F232)</f>
        <v/>
      </c>
      <c r="H232" s="16">
        <f>IF(E232="","",F232+INDEX($L$9:$L$15,C232))</f>
        <v/>
      </c>
      <c r="I232" s="16">
        <f>IF(E232="","",E232-H232)</f>
        <v/>
      </c>
    </row>
    <row r="233">
      <c r="A233" s="5" t="n"/>
      <c r="B233" s="7" t="n"/>
      <c r="C233">
        <f>IF(A233="","",WEEKDAY(A233,2))</f>
        <v/>
      </c>
      <c r="D233">
        <f>IF(A233="","",A233-MIN($A$5:$A$400)+1)</f>
        <v/>
      </c>
      <c r="E233" s="16">
        <f>IF(OR(A233="",B233&lt;=0),"",LN(B233))</f>
        <v/>
      </c>
      <c r="F233" s="16">
        <f>IF(E233="","",$L$6+$L$5*D233)</f>
        <v/>
      </c>
      <c r="G233" s="16">
        <f>IF(E233="","",E233-F233)</f>
        <v/>
      </c>
      <c r="H233" s="16">
        <f>IF(E233="","",F233+INDEX($L$9:$L$15,C233))</f>
        <v/>
      </c>
      <c r="I233" s="16">
        <f>IF(E233="","",E233-H233)</f>
        <v/>
      </c>
    </row>
    <row r="234">
      <c r="A234" s="5" t="n"/>
      <c r="B234" s="7" t="n"/>
      <c r="C234">
        <f>IF(A234="","",WEEKDAY(A234,2))</f>
        <v/>
      </c>
      <c r="D234">
        <f>IF(A234="","",A234-MIN($A$5:$A$400)+1)</f>
        <v/>
      </c>
      <c r="E234" s="16">
        <f>IF(OR(A234="",B234&lt;=0),"",LN(B234))</f>
        <v/>
      </c>
      <c r="F234" s="16">
        <f>IF(E234="","",$L$6+$L$5*D234)</f>
        <v/>
      </c>
      <c r="G234" s="16">
        <f>IF(E234="","",E234-F234)</f>
        <v/>
      </c>
      <c r="H234" s="16">
        <f>IF(E234="","",F234+INDEX($L$9:$L$15,C234))</f>
        <v/>
      </c>
      <c r="I234" s="16">
        <f>IF(E234="","",E234-H234)</f>
        <v/>
      </c>
    </row>
    <row r="235">
      <c r="A235" s="5" t="n"/>
      <c r="B235" s="7" t="n"/>
      <c r="C235">
        <f>IF(A235="","",WEEKDAY(A235,2))</f>
        <v/>
      </c>
      <c r="D235">
        <f>IF(A235="","",A235-MIN($A$5:$A$400)+1)</f>
        <v/>
      </c>
      <c r="E235" s="16">
        <f>IF(OR(A235="",B235&lt;=0),"",LN(B235))</f>
        <v/>
      </c>
      <c r="F235" s="16">
        <f>IF(E235="","",$L$6+$L$5*D235)</f>
        <v/>
      </c>
      <c r="G235" s="16">
        <f>IF(E235="","",E235-F235)</f>
        <v/>
      </c>
      <c r="H235" s="16">
        <f>IF(E235="","",F235+INDEX($L$9:$L$15,C235))</f>
        <v/>
      </c>
      <c r="I235" s="16">
        <f>IF(E235="","",E235-H235)</f>
        <v/>
      </c>
    </row>
    <row r="236">
      <c r="A236" s="5" t="n"/>
      <c r="B236" s="7" t="n"/>
      <c r="C236">
        <f>IF(A236="","",WEEKDAY(A236,2))</f>
        <v/>
      </c>
      <c r="D236">
        <f>IF(A236="","",A236-MIN($A$5:$A$400)+1)</f>
        <v/>
      </c>
      <c r="E236" s="16">
        <f>IF(OR(A236="",B236&lt;=0),"",LN(B236))</f>
        <v/>
      </c>
      <c r="F236" s="16">
        <f>IF(E236="","",$L$6+$L$5*D236)</f>
        <v/>
      </c>
      <c r="G236" s="16">
        <f>IF(E236="","",E236-F236)</f>
        <v/>
      </c>
      <c r="H236" s="16">
        <f>IF(E236="","",F236+INDEX($L$9:$L$15,C236))</f>
        <v/>
      </c>
      <c r="I236" s="16">
        <f>IF(E236="","",E236-H236)</f>
        <v/>
      </c>
    </row>
    <row r="237">
      <c r="A237" s="5" t="n"/>
      <c r="B237" s="7" t="n"/>
      <c r="C237">
        <f>IF(A237="","",WEEKDAY(A237,2))</f>
        <v/>
      </c>
      <c r="D237">
        <f>IF(A237="","",A237-MIN($A$5:$A$400)+1)</f>
        <v/>
      </c>
      <c r="E237" s="16">
        <f>IF(OR(A237="",B237&lt;=0),"",LN(B237))</f>
        <v/>
      </c>
      <c r="F237" s="16">
        <f>IF(E237="","",$L$6+$L$5*D237)</f>
        <v/>
      </c>
      <c r="G237" s="16">
        <f>IF(E237="","",E237-F237)</f>
        <v/>
      </c>
      <c r="H237" s="16">
        <f>IF(E237="","",F237+INDEX($L$9:$L$15,C237))</f>
        <v/>
      </c>
      <c r="I237" s="16">
        <f>IF(E237="","",E237-H237)</f>
        <v/>
      </c>
    </row>
    <row r="238">
      <c r="A238" s="5" t="n"/>
      <c r="B238" s="7" t="n"/>
      <c r="C238">
        <f>IF(A238="","",WEEKDAY(A238,2))</f>
        <v/>
      </c>
      <c r="D238">
        <f>IF(A238="","",A238-MIN($A$5:$A$400)+1)</f>
        <v/>
      </c>
      <c r="E238" s="16">
        <f>IF(OR(A238="",B238&lt;=0),"",LN(B238))</f>
        <v/>
      </c>
      <c r="F238" s="16">
        <f>IF(E238="","",$L$6+$L$5*D238)</f>
        <v/>
      </c>
      <c r="G238" s="16">
        <f>IF(E238="","",E238-F238)</f>
        <v/>
      </c>
      <c r="H238" s="16">
        <f>IF(E238="","",F238+INDEX($L$9:$L$15,C238))</f>
        <v/>
      </c>
      <c r="I238" s="16">
        <f>IF(E238="","",E238-H238)</f>
        <v/>
      </c>
    </row>
    <row r="239">
      <c r="A239" s="5" t="n"/>
      <c r="B239" s="7" t="n"/>
      <c r="C239">
        <f>IF(A239="","",WEEKDAY(A239,2))</f>
        <v/>
      </c>
      <c r="D239">
        <f>IF(A239="","",A239-MIN($A$5:$A$400)+1)</f>
        <v/>
      </c>
      <c r="E239" s="16">
        <f>IF(OR(A239="",B239&lt;=0),"",LN(B239))</f>
        <v/>
      </c>
      <c r="F239" s="16">
        <f>IF(E239="","",$L$6+$L$5*D239)</f>
        <v/>
      </c>
      <c r="G239" s="16">
        <f>IF(E239="","",E239-F239)</f>
        <v/>
      </c>
      <c r="H239" s="16">
        <f>IF(E239="","",F239+INDEX($L$9:$L$15,C239))</f>
        <v/>
      </c>
      <c r="I239" s="16">
        <f>IF(E239="","",E239-H239)</f>
        <v/>
      </c>
    </row>
    <row r="240">
      <c r="A240" s="5" t="n"/>
      <c r="B240" s="7" t="n"/>
      <c r="C240">
        <f>IF(A240="","",WEEKDAY(A240,2))</f>
        <v/>
      </c>
      <c r="D240">
        <f>IF(A240="","",A240-MIN($A$5:$A$400)+1)</f>
        <v/>
      </c>
      <c r="E240" s="16">
        <f>IF(OR(A240="",B240&lt;=0),"",LN(B240))</f>
        <v/>
      </c>
      <c r="F240" s="16">
        <f>IF(E240="","",$L$6+$L$5*D240)</f>
        <v/>
      </c>
      <c r="G240" s="16">
        <f>IF(E240="","",E240-F240)</f>
        <v/>
      </c>
      <c r="H240" s="16">
        <f>IF(E240="","",F240+INDEX($L$9:$L$15,C240))</f>
        <v/>
      </c>
      <c r="I240" s="16">
        <f>IF(E240="","",E240-H240)</f>
        <v/>
      </c>
    </row>
    <row r="241">
      <c r="A241" s="5" t="n"/>
      <c r="B241" s="7" t="n"/>
      <c r="C241">
        <f>IF(A241="","",WEEKDAY(A241,2))</f>
        <v/>
      </c>
      <c r="D241">
        <f>IF(A241="","",A241-MIN($A$5:$A$400)+1)</f>
        <v/>
      </c>
      <c r="E241" s="16">
        <f>IF(OR(A241="",B241&lt;=0),"",LN(B241))</f>
        <v/>
      </c>
      <c r="F241" s="16">
        <f>IF(E241="","",$L$6+$L$5*D241)</f>
        <v/>
      </c>
      <c r="G241" s="16">
        <f>IF(E241="","",E241-F241)</f>
        <v/>
      </c>
      <c r="H241" s="16">
        <f>IF(E241="","",F241+INDEX($L$9:$L$15,C241))</f>
        <v/>
      </c>
      <c r="I241" s="16">
        <f>IF(E241="","",E241-H241)</f>
        <v/>
      </c>
    </row>
    <row r="242">
      <c r="A242" s="5" t="n"/>
      <c r="B242" s="7" t="n"/>
      <c r="C242">
        <f>IF(A242="","",WEEKDAY(A242,2))</f>
        <v/>
      </c>
      <c r="D242">
        <f>IF(A242="","",A242-MIN($A$5:$A$400)+1)</f>
        <v/>
      </c>
      <c r="E242" s="16">
        <f>IF(OR(A242="",B242&lt;=0),"",LN(B242))</f>
        <v/>
      </c>
      <c r="F242" s="16">
        <f>IF(E242="","",$L$6+$L$5*D242)</f>
        <v/>
      </c>
      <c r="G242" s="16">
        <f>IF(E242="","",E242-F242)</f>
        <v/>
      </c>
      <c r="H242" s="16">
        <f>IF(E242="","",F242+INDEX($L$9:$L$15,C242))</f>
        <v/>
      </c>
      <c r="I242" s="16">
        <f>IF(E242="","",E242-H242)</f>
        <v/>
      </c>
    </row>
    <row r="243">
      <c r="A243" s="5" t="n"/>
      <c r="B243" s="7" t="n"/>
      <c r="C243">
        <f>IF(A243="","",WEEKDAY(A243,2))</f>
        <v/>
      </c>
      <c r="D243">
        <f>IF(A243="","",A243-MIN($A$5:$A$400)+1)</f>
        <v/>
      </c>
      <c r="E243" s="16">
        <f>IF(OR(A243="",B243&lt;=0),"",LN(B243))</f>
        <v/>
      </c>
      <c r="F243" s="16">
        <f>IF(E243="","",$L$6+$L$5*D243)</f>
        <v/>
      </c>
      <c r="G243" s="16">
        <f>IF(E243="","",E243-F243)</f>
        <v/>
      </c>
      <c r="H243" s="16">
        <f>IF(E243="","",F243+INDEX($L$9:$L$15,C243))</f>
        <v/>
      </c>
      <c r="I243" s="16">
        <f>IF(E243="","",E243-H243)</f>
        <v/>
      </c>
    </row>
    <row r="244">
      <c r="A244" s="5" t="n"/>
      <c r="B244" s="7" t="n"/>
      <c r="C244">
        <f>IF(A244="","",WEEKDAY(A244,2))</f>
        <v/>
      </c>
      <c r="D244">
        <f>IF(A244="","",A244-MIN($A$5:$A$400)+1)</f>
        <v/>
      </c>
      <c r="E244" s="16">
        <f>IF(OR(A244="",B244&lt;=0),"",LN(B244))</f>
        <v/>
      </c>
      <c r="F244" s="16">
        <f>IF(E244="","",$L$6+$L$5*D244)</f>
        <v/>
      </c>
      <c r="G244" s="16">
        <f>IF(E244="","",E244-F244)</f>
        <v/>
      </c>
      <c r="H244" s="16">
        <f>IF(E244="","",F244+INDEX($L$9:$L$15,C244))</f>
        <v/>
      </c>
      <c r="I244" s="16">
        <f>IF(E244="","",E244-H244)</f>
        <v/>
      </c>
    </row>
    <row r="245">
      <c r="A245" s="5" t="n"/>
      <c r="B245" s="7" t="n"/>
      <c r="C245">
        <f>IF(A245="","",WEEKDAY(A245,2))</f>
        <v/>
      </c>
      <c r="D245">
        <f>IF(A245="","",A245-MIN($A$5:$A$400)+1)</f>
        <v/>
      </c>
      <c r="E245" s="16">
        <f>IF(OR(A245="",B245&lt;=0),"",LN(B245))</f>
        <v/>
      </c>
      <c r="F245" s="16">
        <f>IF(E245="","",$L$6+$L$5*D245)</f>
        <v/>
      </c>
      <c r="G245" s="16">
        <f>IF(E245="","",E245-F245)</f>
        <v/>
      </c>
      <c r="H245" s="16">
        <f>IF(E245="","",F245+INDEX($L$9:$L$15,C245))</f>
        <v/>
      </c>
      <c r="I245" s="16">
        <f>IF(E245="","",E245-H245)</f>
        <v/>
      </c>
    </row>
    <row r="246">
      <c r="A246" s="5" t="n"/>
      <c r="B246" s="7" t="n"/>
      <c r="C246">
        <f>IF(A246="","",WEEKDAY(A246,2))</f>
        <v/>
      </c>
      <c r="D246">
        <f>IF(A246="","",A246-MIN($A$5:$A$400)+1)</f>
        <v/>
      </c>
      <c r="E246" s="16">
        <f>IF(OR(A246="",B246&lt;=0),"",LN(B246))</f>
        <v/>
      </c>
      <c r="F246" s="16">
        <f>IF(E246="","",$L$6+$L$5*D246)</f>
        <v/>
      </c>
      <c r="G246" s="16">
        <f>IF(E246="","",E246-F246)</f>
        <v/>
      </c>
      <c r="H246" s="16">
        <f>IF(E246="","",F246+INDEX($L$9:$L$15,C246))</f>
        <v/>
      </c>
      <c r="I246" s="16">
        <f>IF(E246="","",E246-H246)</f>
        <v/>
      </c>
    </row>
    <row r="247">
      <c r="A247" s="5" t="n"/>
      <c r="B247" s="7" t="n"/>
      <c r="C247">
        <f>IF(A247="","",WEEKDAY(A247,2))</f>
        <v/>
      </c>
      <c r="D247">
        <f>IF(A247="","",A247-MIN($A$5:$A$400)+1)</f>
        <v/>
      </c>
      <c r="E247" s="16">
        <f>IF(OR(A247="",B247&lt;=0),"",LN(B247))</f>
        <v/>
      </c>
      <c r="F247" s="16">
        <f>IF(E247="","",$L$6+$L$5*D247)</f>
        <v/>
      </c>
      <c r="G247" s="16">
        <f>IF(E247="","",E247-F247)</f>
        <v/>
      </c>
      <c r="H247" s="16">
        <f>IF(E247="","",F247+INDEX($L$9:$L$15,C247))</f>
        <v/>
      </c>
      <c r="I247" s="16">
        <f>IF(E247="","",E247-H247)</f>
        <v/>
      </c>
    </row>
    <row r="248">
      <c r="A248" s="5" t="n"/>
      <c r="B248" s="7" t="n"/>
      <c r="C248">
        <f>IF(A248="","",WEEKDAY(A248,2))</f>
        <v/>
      </c>
      <c r="D248">
        <f>IF(A248="","",A248-MIN($A$5:$A$400)+1)</f>
        <v/>
      </c>
      <c r="E248" s="16">
        <f>IF(OR(A248="",B248&lt;=0),"",LN(B248))</f>
        <v/>
      </c>
      <c r="F248" s="16">
        <f>IF(E248="","",$L$6+$L$5*D248)</f>
        <v/>
      </c>
      <c r="G248" s="16">
        <f>IF(E248="","",E248-F248)</f>
        <v/>
      </c>
      <c r="H248" s="16">
        <f>IF(E248="","",F248+INDEX($L$9:$L$15,C248))</f>
        <v/>
      </c>
      <c r="I248" s="16">
        <f>IF(E248="","",E248-H248)</f>
        <v/>
      </c>
    </row>
    <row r="249">
      <c r="A249" s="5" t="n"/>
      <c r="B249" s="7" t="n"/>
      <c r="C249">
        <f>IF(A249="","",WEEKDAY(A249,2))</f>
        <v/>
      </c>
      <c r="D249">
        <f>IF(A249="","",A249-MIN($A$5:$A$400)+1)</f>
        <v/>
      </c>
      <c r="E249" s="16">
        <f>IF(OR(A249="",B249&lt;=0),"",LN(B249))</f>
        <v/>
      </c>
      <c r="F249" s="16">
        <f>IF(E249="","",$L$6+$L$5*D249)</f>
        <v/>
      </c>
      <c r="G249" s="16">
        <f>IF(E249="","",E249-F249)</f>
        <v/>
      </c>
      <c r="H249" s="16">
        <f>IF(E249="","",F249+INDEX($L$9:$L$15,C249))</f>
        <v/>
      </c>
      <c r="I249" s="16">
        <f>IF(E249="","",E249-H249)</f>
        <v/>
      </c>
    </row>
    <row r="250">
      <c r="A250" s="5" t="n"/>
      <c r="B250" s="7" t="n"/>
      <c r="C250">
        <f>IF(A250="","",WEEKDAY(A250,2))</f>
        <v/>
      </c>
      <c r="D250">
        <f>IF(A250="","",A250-MIN($A$5:$A$400)+1)</f>
        <v/>
      </c>
      <c r="E250" s="16">
        <f>IF(OR(A250="",B250&lt;=0),"",LN(B250))</f>
        <v/>
      </c>
      <c r="F250" s="16">
        <f>IF(E250="","",$L$6+$L$5*D250)</f>
        <v/>
      </c>
      <c r="G250" s="16">
        <f>IF(E250="","",E250-F250)</f>
        <v/>
      </c>
      <c r="H250" s="16">
        <f>IF(E250="","",F250+INDEX($L$9:$L$15,C250))</f>
        <v/>
      </c>
      <c r="I250" s="16">
        <f>IF(E250="","",E250-H250)</f>
        <v/>
      </c>
    </row>
    <row r="251">
      <c r="A251" s="5" t="n"/>
      <c r="B251" s="7" t="n"/>
      <c r="C251">
        <f>IF(A251="","",WEEKDAY(A251,2))</f>
        <v/>
      </c>
      <c r="D251">
        <f>IF(A251="","",A251-MIN($A$5:$A$400)+1)</f>
        <v/>
      </c>
      <c r="E251" s="16">
        <f>IF(OR(A251="",B251&lt;=0),"",LN(B251))</f>
        <v/>
      </c>
      <c r="F251" s="16">
        <f>IF(E251="","",$L$6+$L$5*D251)</f>
        <v/>
      </c>
      <c r="G251" s="16">
        <f>IF(E251="","",E251-F251)</f>
        <v/>
      </c>
      <c r="H251" s="16">
        <f>IF(E251="","",F251+INDEX($L$9:$L$15,C251))</f>
        <v/>
      </c>
      <c r="I251" s="16">
        <f>IF(E251="","",E251-H251)</f>
        <v/>
      </c>
    </row>
    <row r="252">
      <c r="A252" s="5" t="n"/>
      <c r="B252" s="7" t="n"/>
      <c r="C252">
        <f>IF(A252="","",WEEKDAY(A252,2))</f>
        <v/>
      </c>
      <c r="D252">
        <f>IF(A252="","",A252-MIN($A$5:$A$400)+1)</f>
        <v/>
      </c>
      <c r="E252" s="16">
        <f>IF(OR(A252="",B252&lt;=0),"",LN(B252))</f>
        <v/>
      </c>
      <c r="F252" s="16">
        <f>IF(E252="","",$L$6+$L$5*D252)</f>
        <v/>
      </c>
      <c r="G252" s="16">
        <f>IF(E252="","",E252-F252)</f>
        <v/>
      </c>
      <c r="H252" s="16">
        <f>IF(E252="","",F252+INDEX($L$9:$L$15,C252))</f>
        <v/>
      </c>
      <c r="I252" s="16">
        <f>IF(E252="","",E252-H252)</f>
        <v/>
      </c>
    </row>
    <row r="253">
      <c r="A253" s="5" t="n"/>
      <c r="B253" s="7" t="n"/>
      <c r="C253">
        <f>IF(A253="","",WEEKDAY(A253,2))</f>
        <v/>
      </c>
      <c r="D253">
        <f>IF(A253="","",A253-MIN($A$5:$A$400)+1)</f>
        <v/>
      </c>
      <c r="E253" s="16">
        <f>IF(OR(A253="",B253&lt;=0),"",LN(B253))</f>
        <v/>
      </c>
      <c r="F253" s="16">
        <f>IF(E253="","",$L$6+$L$5*D253)</f>
        <v/>
      </c>
      <c r="G253" s="16">
        <f>IF(E253="","",E253-F253)</f>
        <v/>
      </c>
      <c r="H253" s="16">
        <f>IF(E253="","",F253+INDEX($L$9:$L$15,C253))</f>
        <v/>
      </c>
      <c r="I253" s="16">
        <f>IF(E253="","",E253-H253)</f>
        <v/>
      </c>
    </row>
    <row r="254">
      <c r="A254" s="5" t="n"/>
      <c r="B254" s="7" t="n"/>
      <c r="C254">
        <f>IF(A254="","",WEEKDAY(A254,2))</f>
        <v/>
      </c>
      <c r="D254">
        <f>IF(A254="","",A254-MIN($A$5:$A$400)+1)</f>
        <v/>
      </c>
      <c r="E254" s="16">
        <f>IF(OR(A254="",B254&lt;=0),"",LN(B254))</f>
        <v/>
      </c>
      <c r="F254" s="16">
        <f>IF(E254="","",$L$6+$L$5*D254)</f>
        <v/>
      </c>
      <c r="G254" s="16">
        <f>IF(E254="","",E254-F254)</f>
        <v/>
      </c>
      <c r="H254" s="16">
        <f>IF(E254="","",F254+INDEX($L$9:$L$15,C254))</f>
        <v/>
      </c>
      <c r="I254" s="16">
        <f>IF(E254="","",E254-H254)</f>
        <v/>
      </c>
    </row>
    <row r="255">
      <c r="A255" s="5" t="n"/>
      <c r="B255" s="7" t="n"/>
      <c r="C255">
        <f>IF(A255="","",WEEKDAY(A255,2))</f>
        <v/>
      </c>
      <c r="D255">
        <f>IF(A255="","",A255-MIN($A$5:$A$400)+1)</f>
        <v/>
      </c>
      <c r="E255" s="16">
        <f>IF(OR(A255="",B255&lt;=0),"",LN(B255))</f>
        <v/>
      </c>
      <c r="F255" s="16">
        <f>IF(E255="","",$L$6+$L$5*D255)</f>
        <v/>
      </c>
      <c r="G255" s="16">
        <f>IF(E255="","",E255-F255)</f>
        <v/>
      </c>
      <c r="H255" s="16">
        <f>IF(E255="","",F255+INDEX($L$9:$L$15,C255))</f>
        <v/>
      </c>
      <c r="I255" s="16">
        <f>IF(E255="","",E255-H255)</f>
        <v/>
      </c>
    </row>
    <row r="256">
      <c r="A256" s="5" t="n"/>
      <c r="B256" s="7" t="n"/>
      <c r="C256">
        <f>IF(A256="","",WEEKDAY(A256,2))</f>
        <v/>
      </c>
      <c r="D256">
        <f>IF(A256="","",A256-MIN($A$5:$A$400)+1)</f>
        <v/>
      </c>
      <c r="E256" s="16">
        <f>IF(OR(A256="",B256&lt;=0),"",LN(B256))</f>
        <v/>
      </c>
      <c r="F256" s="16">
        <f>IF(E256="","",$L$6+$L$5*D256)</f>
        <v/>
      </c>
      <c r="G256" s="16">
        <f>IF(E256="","",E256-F256)</f>
        <v/>
      </c>
      <c r="H256" s="16">
        <f>IF(E256="","",F256+INDEX($L$9:$L$15,C256))</f>
        <v/>
      </c>
      <c r="I256" s="16">
        <f>IF(E256="","",E256-H256)</f>
        <v/>
      </c>
    </row>
    <row r="257">
      <c r="A257" s="5" t="n"/>
      <c r="B257" s="7" t="n"/>
      <c r="C257">
        <f>IF(A257="","",WEEKDAY(A257,2))</f>
        <v/>
      </c>
      <c r="D257">
        <f>IF(A257="","",A257-MIN($A$5:$A$400)+1)</f>
        <v/>
      </c>
      <c r="E257" s="16">
        <f>IF(OR(A257="",B257&lt;=0),"",LN(B257))</f>
        <v/>
      </c>
      <c r="F257" s="16">
        <f>IF(E257="","",$L$6+$L$5*D257)</f>
        <v/>
      </c>
      <c r="G257" s="16">
        <f>IF(E257="","",E257-F257)</f>
        <v/>
      </c>
      <c r="H257" s="16">
        <f>IF(E257="","",F257+INDEX($L$9:$L$15,C257))</f>
        <v/>
      </c>
      <c r="I257" s="16">
        <f>IF(E257="","",E257-H257)</f>
        <v/>
      </c>
    </row>
    <row r="258">
      <c r="A258" s="5" t="n"/>
      <c r="B258" s="7" t="n"/>
      <c r="C258">
        <f>IF(A258="","",WEEKDAY(A258,2))</f>
        <v/>
      </c>
      <c r="D258">
        <f>IF(A258="","",A258-MIN($A$5:$A$400)+1)</f>
        <v/>
      </c>
      <c r="E258" s="16">
        <f>IF(OR(A258="",B258&lt;=0),"",LN(B258))</f>
        <v/>
      </c>
      <c r="F258" s="16">
        <f>IF(E258="","",$L$6+$L$5*D258)</f>
        <v/>
      </c>
      <c r="G258" s="16">
        <f>IF(E258="","",E258-F258)</f>
        <v/>
      </c>
      <c r="H258" s="16">
        <f>IF(E258="","",F258+INDEX($L$9:$L$15,C258))</f>
        <v/>
      </c>
      <c r="I258" s="16">
        <f>IF(E258="","",E258-H258)</f>
        <v/>
      </c>
    </row>
    <row r="259">
      <c r="A259" s="5" t="n"/>
      <c r="B259" s="7" t="n"/>
      <c r="C259">
        <f>IF(A259="","",WEEKDAY(A259,2))</f>
        <v/>
      </c>
      <c r="D259">
        <f>IF(A259="","",A259-MIN($A$5:$A$400)+1)</f>
        <v/>
      </c>
      <c r="E259" s="16">
        <f>IF(OR(A259="",B259&lt;=0),"",LN(B259))</f>
        <v/>
      </c>
      <c r="F259" s="16">
        <f>IF(E259="","",$L$6+$L$5*D259)</f>
        <v/>
      </c>
      <c r="G259" s="16">
        <f>IF(E259="","",E259-F259)</f>
        <v/>
      </c>
      <c r="H259" s="16">
        <f>IF(E259="","",F259+INDEX($L$9:$L$15,C259))</f>
        <v/>
      </c>
      <c r="I259" s="16">
        <f>IF(E259="","",E259-H259)</f>
        <v/>
      </c>
    </row>
    <row r="260">
      <c r="A260" s="5" t="n"/>
      <c r="B260" s="7" t="n"/>
      <c r="C260">
        <f>IF(A260="","",WEEKDAY(A260,2))</f>
        <v/>
      </c>
      <c r="D260">
        <f>IF(A260="","",A260-MIN($A$5:$A$400)+1)</f>
        <v/>
      </c>
      <c r="E260" s="16">
        <f>IF(OR(A260="",B260&lt;=0),"",LN(B260))</f>
        <v/>
      </c>
      <c r="F260" s="16">
        <f>IF(E260="","",$L$6+$L$5*D260)</f>
        <v/>
      </c>
      <c r="G260" s="16">
        <f>IF(E260="","",E260-F260)</f>
        <v/>
      </c>
      <c r="H260" s="16">
        <f>IF(E260="","",F260+INDEX($L$9:$L$15,C260))</f>
        <v/>
      </c>
      <c r="I260" s="16">
        <f>IF(E260="","",E260-H260)</f>
        <v/>
      </c>
    </row>
    <row r="261">
      <c r="A261" s="5" t="n"/>
      <c r="B261" s="7" t="n"/>
      <c r="C261">
        <f>IF(A261="","",WEEKDAY(A261,2))</f>
        <v/>
      </c>
      <c r="D261">
        <f>IF(A261="","",A261-MIN($A$5:$A$400)+1)</f>
        <v/>
      </c>
      <c r="E261" s="16">
        <f>IF(OR(A261="",B261&lt;=0),"",LN(B261))</f>
        <v/>
      </c>
      <c r="F261" s="16">
        <f>IF(E261="","",$L$6+$L$5*D261)</f>
        <v/>
      </c>
      <c r="G261" s="16">
        <f>IF(E261="","",E261-F261)</f>
        <v/>
      </c>
      <c r="H261" s="16">
        <f>IF(E261="","",F261+INDEX($L$9:$L$15,C261))</f>
        <v/>
      </c>
      <c r="I261" s="16">
        <f>IF(E261="","",E261-H261)</f>
        <v/>
      </c>
    </row>
    <row r="262">
      <c r="A262" s="5" t="n"/>
      <c r="B262" s="7" t="n"/>
      <c r="C262">
        <f>IF(A262="","",WEEKDAY(A262,2))</f>
        <v/>
      </c>
      <c r="D262">
        <f>IF(A262="","",A262-MIN($A$5:$A$400)+1)</f>
        <v/>
      </c>
      <c r="E262" s="16">
        <f>IF(OR(A262="",B262&lt;=0),"",LN(B262))</f>
        <v/>
      </c>
      <c r="F262" s="16">
        <f>IF(E262="","",$L$6+$L$5*D262)</f>
        <v/>
      </c>
      <c r="G262" s="16">
        <f>IF(E262="","",E262-F262)</f>
        <v/>
      </c>
      <c r="H262" s="16">
        <f>IF(E262="","",F262+INDEX($L$9:$L$15,C262))</f>
        <v/>
      </c>
      <c r="I262" s="16">
        <f>IF(E262="","",E262-H262)</f>
        <v/>
      </c>
    </row>
    <row r="263">
      <c r="A263" s="5" t="n"/>
      <c r="B263" s="7" t="n"/>
      <c r="C263">
        <f>IF(A263="","",WEEKDAY(A263,2))</f>
        <v/>
      </c>
      <c r="D263">
        <f>IF(A263="","",A263-MIN($A$5:$A$400)+1)</f>
        <v/>
      </c>
      <c r="E263" s="16">
        <f>IF(OR(A263="",B263&lt;=0),"",LN(B263))</f>
        <v/>
      </c>
      <c r="F263" s="16">
        <f>IF(E263="","",$L$6+$L$5*D263)</f>
        <v/>
      </c>
      <c r="G263" s="16">
        <f>IF(E263="","",E263-F263)</f>
        <v/>
      </c>
      <c r="H263" s="16">
        <f>IF(E263="","",F263+INDEX($L$9:$L$15,C263))</f>
        <v/>
      </c>
      <c r="I263" s="16">
        <f>IF(E263="","",E263-H263)</f>
        <v/>
      </c>
    </row>
    <row r="264">
      <c r="A264" s="5" t="n"/>
      <c r="B264" s="7" t="n"/>
      <c r="C264">
        <f>IF(A264="","",WEEKDAY(A264,2))</f>
        <v/>
      </c>
      <c r="D264">
        <f>IF(A264="","",A264-MIN($A$5:$A$400)+1)</f>
        <v/>
      </c>
      <c r="E264" s="16">
        <f>IF(OR(A264="",B264&lt;=0),"",LN(B264))</f>
        <v/>
      </c>
      <c r="F264" s="16">
        <f>IF(E264="","",$L$6+$L$5*D264)</f>
        <v/>
      </c>
      <c r="G264" s="16">
        <f>IF(E264="","",E264-F264)</f>
        <v/>
      </c>
      <c r="H264" s="16">
        <f>IF(E264="","",F264+INDEX($L$9:$L$15,C264))</f>
        <v/>
      </c>
      <c r="I264" s="16">
        <f>IF(E264="","",E264-H264)</f>
        <v/>
      </c>
    </row>
    <row r="265">
      <c r="A265" s="5" t="n"/>
      <c r="B265" s="7" t="n"/>
      <c r="C265">
        <f>IF(A265="","",WEEKDAY(A265,2))</f>
        <v/>
      </c>
      <c r="D265">
        <f>IF(A265="","",A265-MIN($A$5:$A$400)+1)</f>
        <v/>
      </c>
      <c r="E265" s="16">
        <f>IF(OR(A265="",B265&lt;=0),"",LN(B265))</f>
        <v/>
      </c>
      <c r="F265" s="16">
        <f>IF(E265="","",$L$6+$L$5*D265)</f>
        <v/>
      </c>
      <c r="G265" s="16">
        <f>IF(E265="","",E265-F265)</f>
        <v/>
      </c>
      <c r="H265" s="16">
        <f>IF(E265="","",F265+INDEX($L$9:$L$15,C265))</f>
        <v/>
      </c>
      <c r="I265" s="16">
        <f>IF(E265="","",E265-H265)</f>
        <v/>
      </c>
    </row>
    <row r="266">
      <c r="A266" s="5" t="n"/>
      <c r="B266" s="7" t="n"/>
      <c r="C266">
        <f>IF(A266="","",WEEKDAY(A266,2))</f>
        <v/>
      </c>
      <c r="D266">
        <f>IF(A266="","",A266-MIN($A$5:$A$400)+1)</f>
        <v/>
      </c>
      <c r="E266" s="16">
        <f>IF(OR(A266="",B266&lt;=0),"",LN(B266))</f>
        <v/>
      </c>
      <c r="F266" s="16">
        <f>IF(E266="","",$L$6+$L$5*D266)</f>
        <v/>
      </c>
      <c r="G266" s="16">
        <f>IF(E266="","",E266-F266)</f>
        <v/>
      </c>
      <c r="H266" s="16">
        <f>IF(E266="","",F266+INDEX($L$9:$L$15,C266))</f>
        <v/>
      </c>
      <c r="I266" s="16">
        <f>IF(E266="","",E266-H266)</f>
        <v/>
      </c>
    </row>
    <row r="267">
      <c r="A267" s="5" t="n"/>
      <c r="B267" s="7" t="n"/>
      <c r="C267">
        <f>IF(A267="","",WEEKDAY(A267,2))</f>
        <v/>
      </c>
      <c r="D267">
        <f>IF(A267="","",A267-MIN($A$5:$A$400)+1)</f>
        <v/>
      </c>
      <c r="E267" s="16">
        <f>IF(OR(A267="",B267&lt;=0),"",LN(B267))</f>
        <v/>
      </c>
      <c r="F267" s="16">
        <f>IF(E267="","",$L$6+$L$5*D267)</f>
        <v/>
      </c>
      <c r="G267" s="16">
        <f>IF(E267="","",E267-F267)</f>
        <v/>
      </c>
      <c r="H267" s="16">
        <f>IF(E267="","",F267+INDEX($L$9:$L$15,C267))</f>
        <v/>
      </c>
      <c r="I267" s="16">
        <f>IF(E267="","",E267-H267)</f>
        <v/>
      </c>
    </row>
    <row r="268">
      <c r="A268" s="5" t="n"/>
      <c r="B268" s="7" t="n"/>
      <c r="C268">
        <f>IF(A268="","",WEEKDAY(A268,2))</f>
        <v/>
      </c>
      <c r="D268">
        <f>IF(A268="","",A268-MIN($A$5:$A$400)+1)</f>
        <v/>
      </c>
      <c r="E268" s="16">
        <f>IF(OR(A268="",B268&lt;=0),"",LN(B268))</f>
        <v/>
      </c>
      <c r="F268" s="16">
        <f>IF(E268="","",$L$6+$L$5*D268)</f>
        <v/>
      </c>
      <c r="G268" s="16">
        <f>IF(E268="","",E268-F268)</f>
        <v/>
      </c>
      <c r="H268" s="16">
        <f>IF(E268="","",F268+INDEX($L$9:$L$15,C268))</f>
        <v/>
      </c>
      <c r="I268" s="16">
        <f>IF(E268="","",E268-H268)</f>
        <v/>
      </c>
    </row>
    <row r="269">
      <c r="A269" s="5" t="n"/>
      <c r="B269" s="7" t="n"/>
      <c r="C269">
        <f>IF(A269="","",WEEKDAY(A269,2))</f>
        <v/>
      </c>
      <c r="D269">
        <f>IF(A269="","",A269-MIN($A$5:$A$400)+1)</f>
        <v/>
      </c>
      <c r="E269" s="16">
        <f>IF(OR(A269="",B269&lt;=0),"",LN(B269))</f>
        <v/>
      </c>
      <c r="F269" s="16">
        <f>IF(E269="","",$L$6+$L$5*D269)</f>
        <v/>
      </c>
      <c r="G269" s="16">
        <f>IF(E269="","",E269-F269)</f>
        <v/>
      </c>
      <c r="H269" s="16">
        <f>IF(E269="","",F269+INDEX($L$9:$L$15,C269))</f>
        <v/>
      </c>
      <c r="I269" s="16">
        <f>IF(E269="","",E269-H269)</f>
        <v/>
      </c>
    </row>
    <row r="270">
      <c r="A270" s="5" t="n"/>
      <c r="B270" s="7" t="n"/>
      <c r="C270">
        <f>IF(A270="","",WEEKDAY(A270,2))</f>
        <v/>
      </c>
      <c r="D270">
        <f>IF(A270="","",A270-MIN($A$5:$A$400)+1)</f>
        <v/>
      </c>
      <c r="E270" s="16">
        <f>IF(OR(A270="",B270&lt;=0),"",LN(B270))</f>
        <v/>
      </c>
      <c r="F270" s="16">
        <f>IF(E270="","",$L$6+$L$5*D270)</f>
        <v/>
      </c>
      <c r="G270" s="16">
        <f>IF(E270="","",E270-F270)</f>
        <v/>
      </c>
      <c r="H270" s="16">
        <f>IF(E270="","",F270+INDEX($L$9:$L$15,C270))</f>
        <v/>
      </c>
      <c r="I270" s="16">
        <f>IF(E270="","",E270-H270)</f>
        <v/>
      </c>
    </row>
    <row r="271">
      <c r="A271" s="5" t="n"/>
      <c r="B271" s="7" t="n"/>
      <c r="C271">
        <f>IF(A271="","",WEEKDAY(A271,2))</f>
        <v/>
      </c>
      <c r="D271">
        <f>IF(A271="","",A271-MIN($A$5:$A$400)+1)</f>
        <v/>
      </c>
      <c r="E271" s="16">
        <f>IF(OR(A271="",B271&lt;=0),"",LN(B271))</f>
        <v/>
      </c>
      <c r="F271" s="16">
        <f>IF(E271="","",$L$6+$L$5*D271)</f>
        <v/>
      </c>
      <c r="G271" s="16">
        <f>IF(E271="","",E271-F271)</f>
        <v/>
      </c>
      <c r="H271" s="16">
        <f>IF(E271="","",F271+INDEX($L$9:$L$15,C271))</f>
        <v/>
      </c>
      <c r="I271" s="16">
        <f>IF(E271="","",E271-H271)</f>
        <v/>
      </c>
    </row>
    <row r="272">
      <c r="A272" s="5" t="n"/>
      <c r="B272" s="7" t="n"/>
      <c r="C272">
        <f>IF(A272="","",WEEKDAY(A272,2))</f>
        <v/>
      </c>
      <c r="D272">
        <f>IF(A272="","",A272-MIN($A$5:$A$400)+1)</f>
        <v/>
      </c>
      <c r="E272" s="16">
        <f>IF(OR(A272="",B272&lt;=0),"",LN(B272))</f>
        <v/>
      </c>
      <c r="F272" s="16">
        <f>IF(E272="","",$L$6+$L$5*D272)</f>
        <v/>
      </c>
      <c r="G272" s="16">
        <f>IF(E272="","",E272-F272)</f>
        <v/>
      </c>
      <c r="H272" s="16">
        <f>IF(E272="","",F272+INDEX($L$9:$L$15,C272))</f>
        <v/>
      </c>
      <c r="I272" s="16">
        <f>IF(E272="","",E272-H272)</f>
        <v/>
      </c>
    </row>
    <row r="273">
      <c r="A273" s="5" t="n"/>
      <c r="B273" s="7" t="n"/>
      <c r="C273">
        <f>IF(A273="","",WEEKDAY(A273,2))</f>
        <v/>
      </c>
      <c r="D273">
        <f>IF(A273="","",A273-MIN($A$5:$A$400)+1)</f>
        <v/>
      </c>
      <c r="E273" s="16">
        <f>IF(OR(A273="",B273&lt;=0),"",LN(B273))</f>
        <v/>
      </c>
      <c r="F273" s="16">
        <f>IF(E273="","",$L$6+$L$5*D273)</f>
        <v/>
      </c>
      <c r="G273" s="16">
        <f>IF(E273="","",E273-F273)</f>
        <v/>
      </c>
      <c r="H273" s="16">
        <f>IF(E273="","",F273+INDEX($L$9:$L$15,C273))</f>
        <v/>
      </c>
      <c r="I273" s="16">
        <f>IF(E273="","",E273-H273)</f>
        <v/>
      </c>
    </row>
    <row r="274">
      <c r="A274" s="5" t="n"/>
      <c r="B274" s="7" t="n"/>
      <c r="C274">
        <f>IF(A274="","",WEEKDAY(A274,2))</f>
        <v/>
      </c>
      <c r="D274">
        <f>IF(A274="","",A274-MIN($A$5:$A$400)+1)</f>
        <v/>
      </c>
      <c r="E274" s="16">
        <f>IF(OR(A274="",B274&lt;=0),"",LN(B274))</f>
        <v/>
      </c>
      <c r="F274" s="16">
        <f>IF(E274="","",$L$6+$L$5*D274)</f>
        <v/>
      </c>
      <c r="G274" s="16">
        <f>IF(E274="","",E274-F274)</f>
        <v/>
      </c>
      <c r="H274" s="16">
        <f>IF(E274="","",F274+INDEX($L$9:$L$15,C274))</f>
        <v/>
      </c>
      <c r="I274" s="16">
        <f>IF(E274="","",E274-H274)</f>
        <v/>
      </c>
    </row>
    <row r="275">
      <c r="A275" s="5" t="n"/>
      <c r="B275" s="7" t="n"/>
      <c r="C275">
        <f>IF(A275="","",WEEKDAY(A275,2))</f>
        <v/>
      </c>
      <c r="D275">
        <f>IF(A275="","",A275-MIN($A$5:$A$400)+1)</f>
        <v/>
      </c>
      <c r="E275" s="16">
        <f>IF(OR(A275="",B275&lt;=0),"",LN(B275))</f>
        <v/>
      </c>
      <c r="F275" s="16">
        <f>IF(E275="","",$L$6+$L$5*D275)</f>
        <v/>
      </c>
      <c r="G275" s="16">
        <f>IF(E275="","",E275-F275)</f>
        <v/>
      </c>
      <c r="H275" s="16">
        <f>IF(E275="","",F275+INDEX($L$9:$L$15,C275))</f>
        <v/>
      </c>
      <c r="I275" s="16">
        <f>IF(E275="","",E275-H275)</f>
        <v/>
      </c>
    </row>
    <row r="276">
      <c r="A276" s="5" t="n"/>
      <c r="B276" s="7" t="n"/>
      <c r="C276">
        <f>IF(A276="","",WEEKDAY(A276,2))</f>
        <v/>
      </c>
      <c r="D276">
        <f>IF(A276="","",A276-MIN($A$5:$A$400)+1)</f>
        <v/>
      </c>
      <c r="E276" s="16">
        <f>IF(OR(A276="",B276&lt;=0),"",LN(B276))</f>
        <v/>
      </c>
      <c r="F276" s="16">
        <f>IF(E276="","",$L$6+$L$5*D276)</f>
        <v/>
      </c>
      <c r="G276" s="16">
        <f>IF(E276="","",E276-F276)</f>
        <v/>
      </c>
      <c r="H276" s="16">
        <f>IF(E276="","",F276+INDEX($L$9:$L$15,C276))</f>
        <v/>
      </c>
      <c r="I276" s="16">
        <f>IF(E276="","",E276-H276)</f>
        <v/>
      </c>
    </row>
    <row r="277">
      <c r="A277" s="5" t="n"/>
      <c r="B277" s="7" t="n"/>
      <c r="C277">
        <f>IF(A277="","",WEEKDAY(A277,2))</f>
        <v/>
      </c>
      <c r="D277">
        <f>IF(A277="","",A277-MIN($A$5:$A$400)+1)</f>
        <v/>
      </c>
      <c r="E277" s="16">
        <f>IF(OR(A277="",B277&lt;=0),"",LN(B277))</f>
        <v/>
      </c>
      <c r="F277" s="16">
        <f>IF(E277="","",$L$6+$L$5*D277)</f>
        <v/>
      </c>
      <c r="G277" s="16">
        <f>IF(E277="","",E277-F277)</f>
        <v/>
      </c>
      <c r="H277" s="16">
        <f>IF(E277="","",F277+INDEX($L$9:$L$15,C277))</f>
        <v/>
      </c>
      <c r="I277" s="16">
        <f>IF(E277="","",E277-H277)</f>
        <v/>
      </c>
    </row>
    <row r="278">
      <c r="A278" s="5" t="n"/>
      <c r="B278" s="7" t="n"/>
      <c r="C278">
        <f>IF(A278="","",WEEKDAY(A278,2))</f>
        <v/>
      </c>
      <c r="D278">
        <f>IF(A278="","",A278-MIN($A$5:$A$400)+1)</f>
        <v/>
      </c>
      <c r="E278" s="16">
        <f>IF(OR(A278="",B278&lt;=0),"",LN(B278))</f>
        <v/>
      </c>
      <c r="F278" s="16">
        <f>IF(E278="","",$L$6+$L$5*D278)</f>
        <v/>
      </c>
      <c r="G278" s="16">
        <f>IF(E278="","",E278-F278)</f>
        <v/>
      </c>
      <c r="H278" s="16">
        <f>IF(E278="","",F278+INDEX($L$9:$L$15,C278))</f>
        <v/>
      </c>
      <c r="I278" s="16">
        <f>IF(E278="","",E278-H278)</f>
        <v/>
      </c>
    </row>
    <row r="279">
      <c r="A279" s="5" t="n"/>
      <c r="B279" s="7" t="n"/>
      <c r="C279">
        <f>IF(A279="","",WEEKDAY(A279,2))</f>
        <v/>
      </c>
      <c r="D279">
        <f>IF(A279="","",A279-MIN($A$5:$A$400)+1)</f>
        <v/>
      </c>
      <c r="E279" s="16">
        <f>IF(OR(A279="",B279&lt;=0),"",LN(B279))</f>
        <v/>
      </c>
      <c r="F279" s="16">
        <f>IF(E279="","",$L$6+$L$5*D279)</f>
        <v/>
      </c>
      <c r="G279" s="16">
        <f>IF(E279="","",E279-F279)</f>
        <v/>
      </c>
      <c r="H279" s="16">
        <f>IF(E279="","",F279+INDEX($L$9:$L$15,C279))</f>
        <v/>
      </c>
      <c r="I279" s="16">
        <f>IF(E279="","",E279-H279)</f>
        <v/>
      </c>
    </row>
    <row r="280">
      <c r="A280" s="5" t="n"/>
      <c r="B280" s="7" t="n"/>
      <c r="C280">
        <f>IF(A280="","",WEEKDAY(A280,2))</f>
        <v/>
      </c>
      <c r="D280">
        <f>IF(A280="","",A280-MIN($A$5:$A$400)+1)</f>
        <v/>
      </c>
      <c r="E280" s="16">
        <f>IF(OR(A280="",B280&lt;=0),"",LN(B280))</f>
        <v/>
      </c>
      <c r="F280" s="16">
        <f>IF(E280="","",$L$6+$L$5*D280)</f>
        <v/>
      </c>
      <c r="G280" s="16">
        <f>IF(E280="","",E280-F280)</f>
        <v/>
      </c>
      <c r="H280" s="16">
        <f>IF(E280="","",F280+INDEX($L$9:$L$15,C280))</f>
        <v/>
      </c>
      <c r="I280" s="16">
        <f>IF(E280="","",E280-H280)</f>
        <v/>
      </c>
    </row>
    <row r="281">
      <c r="A281" s="5" t="n"/>
      <c r="B281" s="7" t="n"/>
      <c r="C281">
        <f>IF(A281="","",WEEKDAY(A281,2))</f>
        <v/>
      </c>
      <c r="D281">
        <f>IF(A281="","",A281-MIN($A$5:$A$400)+1)</f>
        <v/>
      </c>
      <c r="E281" s="16">
        <f>IF(OR(A281="",B281&lt;=0),"",LN(B281))</f>
        <v/>
      </c>
      <c r="F281" s="16">
        <f>IF(E281="","",$L$6+$L$5*D281)</f>
        <v/>
      </c>
      <c r="G281" s="16">
        <f>IF(E281="","",E281-F281)</f>
        <v/>
      </c>
      <c r="H281" s="16">
        <f>IF(E281="","",F281+INDEX($L$9:$L$15,C281))</f>
        <v/>
      </c>
      <c r="I281" s="16">
        <f>IF(E281="","",E281-H281)</f>
        <v/>
      </c>
    </row>
    <row r="282">
      <c r="A282" s="5" t="n"/>
      <c r="B282" s="7" t="n"/>
      <c r="C282">
        <f>IF(A282="","",WEEKDAY(A282,2))</f>
        <v/>
      </c>
      <c r="D282">
        <f>IF(A282="","",A282-MIN($A$5:$A$400)+1)</f>
        <v/>
      </c>
      <c r="E282" s="16">
        <f>IF(OR(A282="",B282&lt;=0),"",LN(B282))</f>
        <v/>
      </c>
      <c r="F282" s="16">
        <f>IF(E282="","",$L$6+$L$5*D282)</f>
        <v/>
      </c>
      <c r="G282" s="16">
        <f>IF(E282="","",E282-F282)</f>
        <v/>
      </c>
      <c r="H282" s="16">
        <f>IF(E282="","",F282+INDEX($L$9:$L$15,C282))</f>
        <v/>
      </c>
      <c r="I282" s="16">
        <f>IF(E282="","",E282-H282)</f>
        <v/>
      </c>
    </row>
    <row r="283">
      <c r="A283" s="5" t="n"/>
      <c r="B283" s="7" t="n"/>
      <c r="C283">
        <f>IF(A283="","",WEEKDAY(A283,2))</f>
        <v/>
      </c>
      <c r="D283">
        <f>IF(A283="","",A283-MIN($A$5:$A$400)+1)</f>
        <v/>
      </c>
      <c r="E283" s="16">
        <f>IF(OR(A283="",B283&lt;=0),"",LN(B283))</f>
        <v/>
      </c>
      <c r="F283" s="16">
        <f>IF(E283="","",$L$6+$L$5*D283)</f>
        <v/>
      </c>
      <c r="G283" s="16">
        <f>IF(E283="","",E283-F283)</f>
        <v/>
      </c>
      <c r="H283" s="16">
        <f>IF(E283="","",F283+INDEX($L$9:$L$15,C283))</f>
        <v/>
      </c>
      <c r="I283" s="16">
        <f>IF(E283="","",E283-H283)</f>
        <v/>
      </c>
    </row>
    <row r="284">
      <c r="A284" s="5" t="n"/>
      <c r="B284" s="7" t="n"/>
      <c r="C284">
        <f>IF(A284="","",WEEKDAY(A284,2))</f>
        <v/>
      </c>
      <c r="D284">
        <f>IF(A284="","",A284-MIN($A$5:$A$400)+1)</f>
        <v/>
      </c>
      <c r="E284" s="16">
        <f>IF(OR(A284="",B284&lt;=0),"",LN(B284))</f>
        <v/>
      </c>
      <c r="F284" s="16">
        <f>IF(E284="","",$L$6+$L$5*D284)</f>
        <v/>
      </c>
      <c r="G284" s="16">
        <f>IF(E284="","",E284-F284)</f>
        <v/>
      </c>
      <c r="H284" s="16">
        <f>IF(E284="","",F284+INDEX($L$9:$L$15,C284))</f>
        <v/>
      </c>
      <c r="I284" s="16">
        <f>IF(E284="","",E284-H284)</f>
        <v/>
      </c>
    </row>
    <row r="285">
      <c r="A285" s="5" t="n"/>
      <c r="B285" s="7" t="n"/>
      <c r="C285">
        <f>IF(A285="","",WEEKDAY(A285,2))</f>
        <v/>
      </c>
      <c r="D285">
        <f>IF(A285="","",A285-MIN($A$5:$A$400)+1)</f>
        <v/>
      </c>
      <c r="E285" s="16">
        <f>IF(OR(A285="",B285&lt;=0),"",LN(B285))</f>
        <v/>
      </c>
      <c r="F285" s="16">
        <f>IF(E285="","",$L$6+$L$5*D285)</f>
        <v/>
      </c>
      <c r="G285" s="16">
        <f>IF(E285="","",E285-F285)</f>
        <v/>
      </c>
      <c r="H285" s="16">
        <f>IF(E285="","",F285+INDEX($L$9:$L$15,C285))</f>
        <v/>
      </c>
      <c r="I285" s="16">
        <f>IF(E285="","",E285-H285)</f>
        <v/>
      </c>
    </row>
    <row r="286">
      <c r="A286" s="5" t="n"/>
      <c r="B286" s="7" t="n"/>
      <c r="C286">
        <f>IF(A286="","",WEEKDAY(A286,2))</f>
        <v/>
      </c>
      <c r="D286">
        <f>IF(A286="","",A286-MIN($A$5:$A$400)+1)</f>
        <v/>
      </c>
      <c r="E286" s="16">
        <f>IF(OR(A286="",B286&lt;=0),"",LN(B286))</f>
        <v/>
      </c>
      <c r="F286" s="16">
        <f>IF(E286="","",$L$6+$L$5*D286)</f>
        <v/>
      </c>
      <c r="G286" s="16">
        <f>IF(E286="","",E286-F286)</f>
        <v/>
      </c>
      <c r="H286" s="16">
        <f>IF(E286="","",F286+INDEX($L$9:$L$15,C286))</f>
        <v/>
      </c>
      <c r="I286" s="16">
        <f>IF(E286="","",E286-H286)</f>
        <v/>
      </c>
    </row>
    <row r="287">
      <c r="A287" s="5" t="n"/>
      <c r="B287" s="7" t="n"/>
      <c r="C287">
        <f>IF(A287="","",WEEKDAY(A287,2))</f>
        <v/>
      </c>
      <c r="D287">
        <f>IF(A287="","",A287-MIN($A$5:$A$400)+1)</f>
        <v/>
      </c>
      <c r="E287" s="16">
        <f>IF(OR(A287="",B287&lt;=0),"",LN(B287))</f>
        <v/>
      </c>
      <c r="F287" s="16">
        <f>IF(E287="","",$L$6+$L$5*D287)</f>
        <v/>
      </c>
      <c r="G287" s="16">
        <f>IF(E287="","",E287-F287)</f>
        <v/>
      </c>
      <c r="H287" s="16">
        <f>IF(E287="","",F287+INDEX($L$9:$L$15,C287))</f>
        <v/>
      </c>
      <c r="I287" s="16">
        <f>IF(E287="","",E287-H287)</f>
        <v/>
      </c>
    </row>
    <row r="288">
      <c r="A288" s="5" t="n"/>
      <c r="B288" s="7" t="n"/>
      <c r="C288">
        <f>IF(A288="","",WEEKDAY(A288,2))</f>
        <v/>
      </c>
      <c r="D288">
        <f>IF(A288="","",A288-MIN($A$5:$A$400)+1)</f>
        <v/>
      </c>
      <c r="E288" s="16">
        <f>IF(OR(A288="",B288&lt;=0),"",LN(B288))</f>
        <v/>
      </c>
      <c r="F288" s="16">
        <f>IF(E288="","",$L$6+$L$5*D288)</f>
        <v/>
      </c>
      <c r="G288" s="16">
        <f>IF(E288="","",E288-F288)</f>
        <v/>
      </c>
      <c r="H288" s="16">
        <f>IF(E288="","",F288+INDEX($L$9:$L$15,C288))</f>
        <v/>
      </c>
      <c r="I288" s="16">
        <f>IF(E288="","",E288-H288)</f>
        <v/>
      </c>
    </row>
    <row r="289">
      <c r="A289" s="5" t="n"/>
      <c r="B289" s="7" t="n"/>
      <c r="C289">
        <f>IF(A289="","",WEEKDAY(A289,2))</f>
        <v/>
      </c>
      <c r="D289">
        <f>IF(A289="","",A289-MIN($A$5:$A$400)+1)</f>
        <v/>
      </c>
      <c r="E289" s="16">
        <f>IF(OR(A289="",B289&lt;=0),"",LN(B289))</f>
        <v/>
      </c>
      <c r="F289" s="16">
        <f>IF(E289="","",$L$6+$L$5*D289)</f>
        <v/>
      </c>
      <c r="G289" s="16">
        <f>IF(E289="","",E289-F289)</f>
        <v/>
      </c>
      <c r="H289" s="16">
        <f>IF(E289="","",F289+INDEX($L$9:$L$15,C289))</f>
        <v/>
      </c>
      <c r="I289" s="16">
        <f>IF(E289="","",E289-H289)</f>
        <v/>
      </c>
    </row>
    <row r="290">
      <c r="A290" s="5" t="n"/>
      <c r="B290" s="7" t="n"/>
      <c r="C290">
        <f>IF(A290="","",WEEKDAY(A290,2))</f>
        <v/>
      </c>
      <c r="D290">
        <f>IF(A290="","",A290-MIN($A$5:$A$400)+1)</f>
        <v/>
      </c>
      <c r="E290" s="16">
        <f>IF(OR(A290="",B290&lt;=0),"",LN(B290))</f>
        <v/>
      </c>
      <c r="F290" s="16">
        <f>IF(E290="","",$L$6+$L$5*D290)</f>
        <v/>
      </c>
      <c r="G290" s="16">
        <f>IF(E290="","",E290-F290)</f>
        <v/>
      </c>
      <c r="H290" s="16">
        <f>IF(E290="","",F290+INDEX($L$9:$L$15,C290))</f>
        <v/>
      </c>
      <c r="I290" s="16">
        <f>IF(E290="","",E290-H290)</f>
        <v/>
      </c>
    </row>
    <row r="291">
      <c r="A291" s="5" t="n"/>
      <c r="B291" s="7" t="n"/>
      <c r="C291">
        <f>IF(A291="","",WEEKDAY(A291,2))</f>
        <v/>
      </c>
      <c r="D291">
        <f>IF(A291="","",A291-MIN($A$5:$A$400)+1)</f>
        <v/>
      </c>
      <c r="E291" s="16">
        <f>IF(OR(A291="",B291&lt;=0),"",LN(B291))</f>
        <v/>
      </c>
      <c r="F291" s="16">
        <f>IF(E291="","",$L$6+$L$5*D291)</f>
        <v/>
      </c>
      <c r="G291" s="16">
        <f>IF(E291="","",E291-F291)</f>
        <v/>
      </c>
      <c r="H291" s="16">
        <f>IF(E291="","",F291+INDEX($L$9:$L$15,C291))</f>
        <v/>
      </c>
      <c r="I291" s="16">
        <f>IF(E291="","",E291-H291)</f>
        <v/>
      </c>
    </row>
    <row r="292">
      <c r="A292" s="5" t="n"/>
      <c r="B292" s="7" t="n"/>
      <c r="C292">
        <f>IF(A292="","",WEEKDAY(A292,2))</f>
        <v/>
      </c>
      <c r="D292">
        <f>IF(A292="","",A292-MIN($A$5:$A$400)+1)</f>
        <v/>
      </c>
      <c r="E292" s="16">
        <f>IF(OR(A292="",B292&lt;=0),"",LN(B292))</f>
        <v/>
      </c>
      <c r="F292" s="16">
        <f>IF(E292="","",$L$6+$L$5*D292)</f>
        <v/>
      </c>
      <c r="G292" s="16">
        <f>IF(E292="","",E292-F292)</f>
        <v/>
      </c>
      <c r="H292" s="16">
        <f>IF(E292="","",F292+INDEX($L$9:$L$15,C292))</f>
        <v/>
      </c>
      <c r="I292" s="16">
        <f>IF(E292="","",E292-H292)</f>
        <v/>
      </c>
    </row>
    <row r="293">
      <c r="A293" s="5" t="n"/>
      <c r="B293" s="7" t="n"/>
      <c r="C293">
        <f>IF(A293="","",WEEKDAY(A293,2))</f>
        <v/>
      </c>
      <c r="D293">
        <f>IF(A293="","",A293-MIN($A$5:$A$400)+1)</f>
        <v/>
      </c>
      <c r="E293" s="16">
        <f>IF(OR(A293="",B293&lt;=0),"",LN(B293))</f>
        <v/>
      </c>
      <c r="F293" s="16">
        <f>IF(E293="","",$L$6+$L$5*D293)</f>
        <v/>
      </c>
      <c r="G293" s="16">
        <f>IF(E293="","",E293-F293)</f>
        <v/>
      </c>
      <c r="H293" s="16">
        <f>IF(E293="","",F293+INDEX($L$9:$L$15,C293))</f>
        <v/>
      </c>
      <c r="I293" s="16">
        <f>IF(E293="","",E293-H293)</f>
        <v/>
      </c>
    </row>
    <row r="294">
      <c r="A294" s="5" t="n"/>
      <c r="B294" s="7" t="n"/>
      <c r="C294">
        <f>IF(A294="","",WEEKDAY(A294,2))</f>
        <v/>
      </c>
      <c r="D294">
        <f>IF(A294="","",A294-MIN($A$5:$A$400)+1)</f>
        <v/>
      </c>
      <c r="E294" s="16">
        <f>IF(OR(A294="",B294&lt;=0),"",LN(B294))</f>
        <v/>
      </c>
      <c r="F294" s="16">
        <f>IF(E294="","",$L$6+$L$5*D294)</f>
        <v/>
      </c>
      <c r="G294" s="16">
        <f>IF(E294="","",E294-F294)</f>
        <v/>
      </c>
      <c r="H294" s="16">
        <f>IF(E294="","",F294+INDEX($L$9:$L$15,C294))</f>
        <v/>
      </c>
      <c r="I294" s="16">
        <f>IF(E294="","",E294-H294)</f>
        <v/>
      </c>
    </row>
    <row r="295">
      <c r="A295" s="5" t="n"/>
      <c r="B295" s="7" t="n"/>
      <c r="C295">
        <f>IF(A295="","",WEEKDAY(A295,2))</f>
        <v/>
      </c>
      <c r="D295">
        <f>IF(A295="","",A295-MIN($A$5:$A$400)+1)</f>
        <v/>
      </c>
      <c r="E295" s="16">
        <f>IF(OR(A295="",B295&lt;=0),"",LN(B295))</f>
        <v/>
      </c>
      <c r="F295" s="16">
        <f>IF(E295="","",$L$6+$L$5*D295)</f>
        <v/>
      </c>
      <c r="G295" s="16">
        <f>IF(E295="","",E295-F295)</f>
        <v/>
      </c>
      <c r="H295" s="16">
        <f>IF(E295="","",F295+INDEX($L$9:$L$15,C295))</f>
        <v/>
      </c>
      <c r="I295" s="16">
        <f>IF(E295="","",E295-H295)</f>
        <v/>
      </c>
    </row>
    <row r="296">
      <c r="A296" s="5" t="n"/>
      <c r="B296" s="7" t="n"/>
      <c r="C296">
        <f>IF(A296="","",WEEKDAY(A296,2))</f>
        <v/>
      </c>
      <c r="D296">
        <f>IF(A296="","",A296-MIN($A$5:$A$400)+1)</f>
        <v/>
      </c>
      <c r="E296" s="16">
        <f>IF(OR(A296="",B296&lt;=0),"",LN(B296))</f>
        <v/>
      </c>
      <c r="F296" s="16">
        <f>IF(E296="","",$L$6+$L$5*D296)</f>
        <v/>
      </c>
      <c r="G296" s="16">
        <f>IF(E296="","",E296-F296)</f>
        <v/>
      </c>
      <c r="H296" s="16">
        <f>IF(E296="","",F296+INDEX($L$9:$L$15,C296))</f>
        <v/>
      </c>
      <c r="I296" s="16">
        <f>IF(E296="","",E296-H296)</f>
        <v/>
      </c>
    </row>
    <row r="297">
      <c r="A297" s="5" t="n"/>
      <c r="B297" s="7" t="n"/>
      <c r="C297">
        <f>IF(A297="","",WEEKDAY(A297,2))</f>
        <v/>
      </c>
      <c r="D297">
        <f>IF(A297="","",A297-MIN($A$5:$A$400)+1)</f>
        <v/>
      </c>
      <c r="E297" s="16">
        <f>IF(OR(A297="",B297&lt;=0),"",LN(B297))</f>
        <v/>
      </c>
      <c r="F297" s="16">
        <f>IF(E297="","",$L$6+$L$5*D297)</f>
        <v/>
      </c>
      <c r="G297" s="16">
        <f>IF(E297="","",E297-F297)</f>
        <v/>
      </c>
      <c r="H297" s="16">
        <f>IF(E297="","",F297+INDEX($L$9:$L$15,C297))</f>
        <v/>
      </c>
      <c r="I297" s="16">
        <f>IF(E297="","",E297-H297)</f>
        <v/>
      </c>
    </row>
    <row r="298">
      <c r="A298" s="5" t="n"/>
      <c r="B298" s="7" t="n"/>
      <c r="C298">
        <f>IF(A298="","",WEEKDAY(A298,2))</f>
        <v/>
      </c>
      <c r="D298">
        <f>IF(A298="","",A298-MIN($A$5:$A$400)+1)</f>
        <v/>
      </c>
      <c r="E298" s="16">
        <f>IF(OR(A298="",B298&lt;=0),"",LN(B298))</f>
        <v/>
      </c>
      <c r="F298" s="16">
        <f>IF(E298="","",$L$6+$L$5*D298)</f>
        <v/>
      </c>
      <c r="G298" s="16">
        <f>IF(E298="","",E298-F298)</f>
        <v/>
      </c>
      <c r="H298" s="16">
        <f>IF(E298="","",F298+INDEX($L$9:$L$15,C298))</f>
        <v/>
      </c>
      <c r="I298" s="16">
        <f>IF(E298="","",E298-H298)</f>
        <v/>
      </c>
    </row>
    <row r="299">
      <c r="A299" s="5" t="n"/>
      <c r="B299" s="7" t="n"/>
      <c r="C299">
        <f>IF(A299="","",WEEKDAY(A299,2))</f>
        <v/>
      </c>
      <c r="D299">
        <f>IF(A299="","",A299-MIN($A$5:$A$400)+1)</f>
        <v/>
      </c>
      <c r="E299" s="16">
        <f>IF(OR(A299="",B299&lt;=0),"",LN(B299))</f>
        <v/>
      </c>
      <c r="F299" s="16">
        <f>IF(E299="","",$L$6+$L$5*D299)</f>
        <v/>
      </c>
      <c r="G299" s="16">
        <f>IF(E299="","",E299-F299)</f>
        <v/>
      </c>
      <c r="H299" s="16">
        <f>IF(E299="","",F299+INDEX($L$9:$L$15,C299))</f>
        <v/>
      </c>
      <c r="I299" s="16">
        <f>IF(E299="","",E299-H299)</f>
        <v/>
      </c>
    </row>
    <row r="300">
      <c r="A300" s="5" t="n"/>
      <c r="B300" s="7" t="n"/>
      <c r="C300">
        <f>IF(A300="","",WEEKDAY(A300,2))</f>
        <v/>
      </c>
      <c r="D300">
        <f>IF(A300="","",A300-MIN($A$5:$A$400)+1)</f>
        <v/>
      </c>
      <c r="E300" s="16">
        <f>IF(OR(A300="",B300&lt;=0),"",LN(B300))</f>
        <v/>
      </c>
      <c r="F300" s="16">
        <f>IF(E300="","",$L$6+$L$5*D300)</f>
        <v/>
      </c>
      <c r="G300" s="16">
        <f>IF(E300="","",E300-F300)</f>
        <v/>
      </c>
      <c r="H300" s="16">
        <f>IF(E300="","",F300+INDEX($L$9:$L$15,C300))</f>
        <v/>
      </c>
      <c r="I300" s="16">
        <f>IF(E300="","",E300-H300)</f>
        <v/>
      </c>
    </row>
    <row r="301">
      <c r="A301" s="5" t="n"/>
      <c r="B301" s="7" t="n"/>
      <c r="C301">
        <f>IF(A301="","",WEEKDAY(A301,2))</f>
        <v/>
      </c>
      <c r="D301">
        <f>IF(A301="","",A301-MIN($A$5:$A$400)+1)</f>
        <v/>
      </c>
      <c r="E301" s="16">
        <f>IF(OR(A301="",B301&lt;=0),"",LN(B301))</f>
        <v/>
      </c>
      <c r="F301" s="16">
        <f>IF(E301="","",$L$6+$L$5*D301)</f>
        <v/>
      </c>
      <c r="G301" s="16">
        <f>IF(E301="","",E301-F301)</f>
        <v/>
      </c>
      <c r="H301" s="16">
        <f>IF(E301="","",F301+INDEX($L$9:$L$15,C301))</f>
        <v/>
      </c>
      <c r="I301" s="16">
        <f>IF(E301="","",E301-H301)</f>
        <v/>
      </c>
    </row>
    <row r="302">
      <c r="A302" s="5" t="n"/>
      <c r="B302" s="7" t="n"/>
      <c r="C302">
        <f>IF(A302="","",WEEKDAY(A302,2))</f>
        <v/>
      </c>
      <c r="D302">
        <f>IF(A302="","",A302-MIN($A$5:$A$400)+1)</f>
        <v/>
      </c>
      <c r="E302" s="16">
        <f>IF(OR(A302="",B302&lt;=0),"",LN(B302))</f>
        <v/>
      </c>
      <c r="F302" s="16">
        <f>IF(E302="","",$L$6+$L$5*D302)</f>
        <v/>
      </c>
      <c r="G302" s="16">
        <f>IF(E302="","",E302-F302)</f>
        <v/>
      </c>
      <c r="H302" s="16">
        <f>IF(E302="","",F302+INDEX($L$9:$L$15,C302))</f>
        <v/>
      </c>
      <c r="I302" s="16">
        <f>IF(E302="","",E302-H302)</f>
        <v/>
      </c>
    </row>
    <row r="303">
      <c r="A303" s="5" t="n"/>
      <c r="B303" s="7" t="n"/>
      <c r="C303">
        <f>IF(A303="","",WEEKDAY(A303,2))</f>
        <v/>
      </c>
      <c r="D303">
        <f>IF(A303="","",A303-MIN($A$5:$A$400)+1)</f>
        <v/>
      </c>
      <c r="E303" s="16">
        <f>IF(OR(A303="",B303&lt;=0),"",LN(B303))</f>
        <v/>
      </c>
      <c r="F303" s="16">
        <f>IF(E303="","",$L$6+$L$5*D303)</f>
        <v/>
      </c>
      <c r="G303" s="16">
        <f>IF(E303="","",E303-F303)</f>
        <v/>
      </c>
      <c r="H303" s="16">
        <f>IF(E303="","",F303+INDEX($L$9:$L$15,C303))</f>
        <v/>
      </c>
      <c r="I303" s="16">
        <f>IF(E303="","",E303-H303)</f>
        <v/>
      </c>
    </row>
    <row r="304">
      <c r="A304" s="5" t="n"/>
      <c r="B304" s="7" t="n"/>
      <c r="C304">
        <f>IF(A304="","",WEEKDAY(A304,2))</f>
        <v/>
      </c>
      <c r="D304">
        <f>IF(A304="","",A304-MIN($A$5:$A$400)+1)</f>
        <v/>
      </c>
      <c r="E304" s="16">
        <f>IF(OR(A304="",B304&lt;=0),"",LN(B304))</f>
        <v/>
      </c>
      <c r="F304" s="16">
        <f>IF(E304="","",$L$6+$L$5*D304)</f>
        <v/>
      </c>
      <c r="G304" s="16">
        <f>IF(E304="","",E304-F304)</f>
        <v/>
      </c>
      <c r="H304" s="16">
        <f>IF(E304="","",F304+INDEX($L$9:$L$15,C304))</f>
        <v/>
      </c>
      <c r="I304" s="16">
        <f>IF(E304="","",E304-H304)</f>
        <v/>
      </c>
    </row>
    <row r="305">
      <c r="A305" s="5" t="n"/>
      <c r="B305" s="7" t="n"/>
      <c r="C305">
        <f>IF(A305="","",WEEKDAY(A305,2))</f>
        <v/>
      </c>
      <c r="D305">
        <f>IF(A305="","",A305-MIN($A$5:$A$400)+1)</f>
        <v/>
      </c>
      <c r="E305" s="16">
        <f>IF(OR(A305="",B305&lt;=0),"",LN(B305))</f>
        <v/>
      </c>
      <c r="F305" s="16">
        <f>IF(E305="","",$L$6+$L$5*D305)</f>
        <v/>
      </c>
      <c r="G305" s="16">
        <f>IF(E305="","",E305-F305)</f>
        <v/>
      </c>
      <c r="H305" s="16">
        <f>IF(E305="","",F305+INDEX($L$9:$L$15,C305))</f>
        <v/>
      </c>
      <c r="I305" s="16">
        <f>IF(E305="","",E305-H305)</f>
        <v/>
      </c>
    </row>
    <row r="306">
      <c r="A306" s="5" t="n"/>
      <c r="B306" s="7" t="n"/>
      <c r="C306">
        <f>IF(A306="","",WEEKDAY(A306,2))</f>
        <v/>
      </c>
      <c r="D306">
        <f>IF(A306="","",A306-MIN($A$5:$A$400)+1)</f>
        <v/>
      </c>
      <c r="E306" s="16">
        <f>IF(OR(A306="",B306&lt;=0),"",LN(B306))</f>
        <v/>
      </c>
      <c r="F306" s="16">
        <f>IF(E306="","",$L$6+$L$5*D306)</f>
        <v/>
      </c>
      <c r="G306" s="16">
        <f>IF(E306="","",E306-F306)</f>
        <v/>
      </c>
      <c r="H306" s="16">
        <f>IF(E306="","",F306+INDEX($L$9:$L$15,C306))</f>
        <v/>
      </c>
      <c r="I306" s="16">
        <f>IF(E306="","",E306-H306)</f>
        <v/>
      </c>
    </row>
    <row r="307">
      <c r="A307" s="5" t="n"/>
      <c r="B307" s="7" t="n"/>
      <c r="C307">
        <f>IF(A307="","",WEEKDAY(A307,2))</f>
        <v/>
      </c>
      <c r="D307">
        <f>IF(A307="","",A307-MIN($A$5:$A$400)+1)</f>
        <v/>
      </c>
      <c r="E307" s="16">
        <f>IF(OR(A307="",B307&lt;=0),"",LN(B307))</f>
        <v/>
      </c>
      <c r="F307" s="16">
        <f>IF(E307="","",$L$6+$L$5*D307)</f>
        <v/>
      </c>
      <c r="G307" s="16">
        <f>IF(E307="","",E307-F307)</f>
        <v/>
      </c>
      <c r="H307" s="16">
        <f>IF(E307="","",F307+INDEX($L$9:$L$15,C307))</f>
        <v/>
      </c>
      <c r="I307" s="16">
        <f>IF(E307="","",E307-H307)</f>
        <v/>
      </c>
    </row>
    <row r="308">
      <c r="A308" s="5" t="n"/>
      <c r="B308" s="7" t="n"/>
      <c r="C308">
        <f>IF(A308="","",WEEKDAY(A308,2))</f>
        <v/>
      </c>
      <c r="D308">
        <f>IF(A308="","",A308-MIN($A$5:$A$400)+1)</f>
        <v/>
      </c>
      <c r="E308" s="16">
        <f>IF(OR(A308="",B308&lt;=0),"",LN(B308))</f>
        <v/>
      </c>
      <c r="F308" s="16">
        <f>IF(E308="","",$L$6+$L$5*D308)</f>
        <v/>
      </c>
      <c r="G308" s="16">
        <f>IF(E308="","",E308-F308)</f>
        <v/>
      </c>
      <c r="H308" s="16">
        <f>IF(E308="","",F308+INDEX($L$9:$L$15,C308))</f>
        <v/>
      </c>
      <c r="I308" s="16">
        <f>IF(E308="","",E308-H308)</f>
        <v/>
      </c>
    </row>
    <row r="309">
      <c r="A309" s="5" t="n"/>
      <c r="B309" s="7" t="n"/>
      <c r="C309">
        <f>IF(A309="","",WEEKDAY(A309,2))</f>
        <v/>
      </c>
      <c r="D309">
        <f>IF(A309="","",A309-MIN($A$5:$A$400)+1)</f>
        <v/>
      </c>
      <c r="E309" s="16">
        <f>IF(OR(A309="",B309&lt;=0),"",LN(B309))</f>
        <v/>
      </c>
      <c r="F309" s="16">
        <f>IF(E309="","",$L$6+$L$5*D309)</f>
        <v/>
      </c>
      <c r="G309" s="16">
        <f>IF(E309="","",E309-F309)</f>
        <v/>
      </c>
      <c r="H309" s="16">
        <f>IF(E309="","",F309+INDEX($L$9:$L$15,C309))</f>
        <v/>
      </c>
      <c r="I309" s="16">
        <f>IF(E309="","",E309-H309)</f>
        <v/>
      </c>
    </row>
    <row r="310">
      <c r="A310" s="5" t="n"/>
      <c r="B310" s="7" t="n"/>
      <c r="C310">
        <f>IF(A310="","",WEEKDAY(A310,2))</f>
        <v/>
      </c>
      <c r="D310">
        <f>IF(A310="","",A310-MIN($A$5:$A$400)+1)</f>
        <v/>
      </c>
      <c r="E310" s="16">
        <f>IF(OR(A310="",B310&lt;=0),"",LN(B310))</f>
        <v/>
      </c>
      <c r="F310" s="16">
        <f>IF(E310="","",$L$6+$L$5*D310)</f>
        <v/>
      </c>
      <c r="G310" s="16">
        <f>IF(E310="","",E310-F310)</f>
        <v/>
      </c>
      <c r="H310" s="16">
        <f>IF(E310="","",F310+INDEX($L$9:$L$15,C310))</f>
        <v/>
      </c>
      <c r="I310" s="16">
        <f>IF(E310="","",E310-H310)</f>
        <v/>
      </c>
    </row>
    <row r="311">
      <c r="A311" s="5" t="n"/>
      <c r="B311" s="7" t="n"/>
      <c r="C311">
        <f>IF(A311="","",WEEKDAY(A311,2))</f>
        <v/>
      </c>
      <c r="D311">
        <f>IF(A311="","",A311-MIN($A$5:$A$400)+1)</f>
        <v/>
      </c>
      <c r="E311" s="16">
        <f>IF(OR(A311="",B311&lt;=0),"",LN(B311))</f>
        <v/>
      </c>
      <c r="F311" s="16">
        <f>IF(E311="","",$L$6+$L$5*D311)</f>
        <v/>
      </c>
      <c r="G311" s="16">
        <f>IF(E311="","",E311-F311)</f>
        <v/>
      </c>
      <c r="H311" s="16">
        <f>IF(E311="","",F311+INDEX($L$9:$L$15,C311))</f>
        <v/>
      </c>
      <c r="I311" s="16">
        <f>IF(E311="","",E311-H311)</f>
        <v/>
      </c>
    </row>
    <row r="312">
      <c r="A312" s="5" t="n"/>
      <c r="B312" s="7" t="n"/>
      <c r="C312">
        <f>IF(A312="","",WEEKDAY(A312,2))</f>
        <v/>
      </c>
      <c r="D312">
        <f>IF(A312="","",A312-MIN($A$5:$A$400)+1)</f>
        <v/>
      </c>
      <c r="E312" s="16">
        <f>IF(OR(A312="",B312&lt;=0),"",LN(B312))</f>
        <v/>
      </c>
      <c r="F312" s="16">
        <f>IF(E312="","",$L$6+$L$5*D312)</f>
        <v/>
      </c>
      <c r="G312" s="16">
        <f>IF(E312="","",E312-F312)</f>
        <v/>
      </c>
      <c r="H312" s="16">
        <f>IF(E312="","",F312+INDEX($L$9:$L$15,C312))</f>
        <v/>
      </c>
      <c r="I312" s="16">
        <f>IF(E312="","",E312-H312)</f>
        <v/>
      </c>
    </row>
    <row r="313">
      <c r="A313" s="5" t="n"/>
      <c r="B313" s="7" t="n"/>
      <c r="C313">
        <f>IF(A313="","",WEEKDAY(A313,2))</f>
        <v/>
      </c>
      <c r="D313">
        <f>IF(A313="","",A313-MIN($A$5:$A$400)+1)</f>
        <v/>
      </c>
      <c r="E313" s="16">
        <f>IF(OR(A313="",B313&lt;=0),"",LN(B313))</f>
        <v/>
      </c>
      <c r="F313" s="16">
        <f>IF(E313="","",$L$6+$L$5*D313)</f>
        <v/>
      </c>
      <c r="G313" s="16">
        <f>IF(E313="","",E313-F313)</f>
        <v/>
      </c>
      <c r="H313" s="16">
        <f>IF(E313="","",F313+INDEX($L$9:$L$15,C313))</f>
        <v/>
      </c>
      <c r="I313" s="16">
        <f>IF(E313="","",E313-H313)</f>
        <v/>
      </c>
    </row>
    <row r="314">
      <c r="A314" s="5" t="n"/>
      <c r="B314" s="7" t="n"/>
      <c r="C314">
        <f>IF(A314="","",WEEKDAY(A314,2))</f>
        <v/>
      </c>
      <c r="D314">
        <f>IF(A314="","",A314-MIN($A$5:$A$400)+1)</f>
        <v/>
      </c>
      <c r="E314" s="16">
        <f>IF(OR(A314="",B314&lt;=0),"",LN(B314))</f>
        <v/>
      </c>
      <c r="F314" s="16">
        <f>IF(E314="","",$L$6+$L$5*D314)</f>
        <v/>
      </c>
      <c r="G314" s="16">
        <f>IF(E314="","",E314-F314)</f>
        <v/>
      </c>
      <c r="H314" s="16">
        <f>IF(E314="","",F314+INDEX($L$9:$L$15,C314))</f>
        <v/>
      </c>
      <c r="I314" s="16">
        <f>IF(E314="","",E314-H314)</f>
        <v/>
      </c>
    </row>
    <row r="315">
      <c r="A315" s="5" t="n"/>
      <c r="B315" s="7" t="n"/>
      <c r="C315">
        <f>IF(A315="","",WEEKDAY(A315,2))</f>
        <v/>
      </c>
      <c r="D315">
        <f>IF(A315="","",A315-MIN($A$5:$A$400)+1)</f>
        <v/>
      </c>
      <c r="E315" s="16">
        <f>IF(OR(A315="",B315&lt;=0),"",LN(B315))</f>
        <v/>
      </c>
      <c r="F315" s="16">
        <f>IF(E315="","",$L$6+$L$5*D315)</f>
        <v/>
      </c>
      <c r="G315" s="16">
        <f>IF(E315="","",E315-F315)</f>
        <v/>
      </c>
      <c r="H315" s="16">
        <f>IF(E315="","",F315+INDEX($L$9:$L$15,C315))</f>
        <v/>
      </c>
      <c r="I315" s="16">
        <f>IF(E315="","",E315-H315)</f>
        <v/>
      </c>
    </row>
    <row r="316">
      <c r="A316" s="5" t="n"/>
      <c r="B316" s="7" t="n"/>
      <c r="C316">
        <f>IF(A316="","",WEEKDAY(A316,2))</f>
        <v/>
      </c>
      <c r="D316">
        <f>IF(A316="","",A316-MIN($A$5:$A$400)+1)</f>
        <v/>
      </c>
      <c r="E316" s="16">
        <f>IF(OR(A316="",B316&lt;=0),"",LN(B316))</f>
        <v/>
      </c>
      <c r="F316" s="16">
        <f>IF(E316="","",$L$6+$L$5*D316)</f>
        <v/>
      </c>
      <c r="G316" s="16">
        <f>IF(E316="","",E316-F316)</f>
        <v/>
      </c>
      <c r="H316" s="16">
        <f>IF(E316="","",F316+INDEX($L$9:$L$15,C316))</f>
        <v/>
      </c>
      <c r="I316" s="16">
        <f>IF(E316="","",E316-H316)</f>
        <v/>
      </c>
    </row>
    <row r="317">
      <c r="A317" s="5" t="n"/>
      <c r="B317" s="7" t="n"/>
      <c r="C317">
        <f>IF(A317="","",WEEKDAY(A317,2))</f>
        <v/>
      </c>
      <c r="D317">
        <f>IF(A317="","",A317-MIN($A$5:$A$400)+1)</f>
        <v/>
      </c>
      <c r="E317" s="16">
        <f>IF(OR(A317="",B317&lt;=0),"",LN(B317))</f>
        <v/>
      </c>
      <c r="F317" s="16">
        <f>IF(E317="","",$L$6+$L$5*D317)</f>
        <v/>
      </c>
      <c r="G317" s="16">
        <f>IF(E317="","",E317-F317)</f>
        <v/>
      </c>
      <c r="H317" s="16">
        <f>IF(E317="","",F317+INDEX($L$9:$L$15,C317))</f>
        <v/>
      </c>
      <c r="I317" s="16">
        <f>IF(E317="","",E317-H317)</f>
        <v/>
      </c>
    </row>
    <row r="318">
      <c r="A318" s="5" t="n"/>
      <c r="B318" s="7" t="n"/>
      <c r="C318">
        <f>IF(A318="","",WEEKDAY(A318,2))</f>
        <v/>
      </c>
      <c r="D318">
        <f>IF(A318="","",A318-MIN($A$5:$A$400)+1)</f>
        <v/>
      </c>
      <c r="E318" s="16">
        <f>IF(OR(A318="",B318&lt;=0),"",LN(B318))</f>
        <v/>
      </c>
      <c r="F318" s="16">
        <f>IF(E318="","",$L$6+$L$5*D318)</f>
        <v/>
      </c>
      <c r="G318" s="16">
        <f>IF(E318="","",E318-F318)</f>
        <v/>
      </c>
      <c r="H318" s="16">
        <f>IF(E318="","",F318+INDEX($L$9:$L$15,C318))</f>
        <v/>
      </c>
      <c r="I318" s="16">
        <f>IF(E318="","",E318-H318)</f>
        <v/>
      </c>
    </row>
    <row r="319">
      <c r="A319" s="5" t="n"/>
      <c r="B319" s="7" t="n"/>
      <c r="C319">
        <f>IF(A319="","",WEEKDAY(A319,2))</f>
        <v/>
      </c>
      <c r="D319">
        <f>IF(A319="","",A319-MIN($A$5:$A$400)+1)</f>
        <v/>
      </c>
      <c r="E319" s="16">
        <f>IF(OR(A319="",B319&lt;=0),"",LN(B319))</f>
        <v/>
      </c>
      <c r="F319" s="16">
        <f>IF(E319="","",$L$6+$L$5*D319)</f>
        <v/>
      </c>
      <c r="G319" s="16">
        <f>IF(E319="","",E319-F319)</f>
        <v/>
      </c>
      <c r="H319" s="16">
        <f>IF(E319="","",F319+INDEX($L$9:$L$15,C319))</f>
        <v/>
      </c>
      <c r="I319" s="16">
        <f>IF(E319="","",E319-H319)</f>
        <v/>
      </c>
    </row>
    <row r="320">
      <c r="A320" s="5" t="n"/>
      <c r="B320" s="7" t="n"/>
      <c r="C320">
        <f>IF(A320="","",WEEKDAY(A320,2))</f>
        <v/>
      </c>
      <c r="D320">
        <f>IF(A320="","",A320-MIN($A$5:$A$400)+1)</f>
        <v/>
      </c>
      <c r="E320" s="16">
        <f>IF(OR(A320="",B320&lt;=0),"",LN(B320))</f>
        <v/>
      </c>
      <c r="F320" s="16">
        <f>IF(E320="","",$L$6+$L$5*D320)</f>
        <v/>
      </c>
      <c r="G320" s="16">
        <f>IF(E320="","",E320-F320)</f>
        <v/>
      </c>
      <c r="H320" s="16">
        <f>IF(E320="","",F320+INDEX($L$9:$L$15,C320))</f>
        <v/>
      </c>
      <c r="I320" s="16">
        <f>IF(E320="","",E320-H320)</f>
        <v/>
      </c>
    </row>
    <row r="321">
      <c r="A321" s="5" t="n"/>
      <c r="B321" s="7" t="n"/>
      <c r="C321">
        <f>IF(A321="","",WEEKDAY(A321,2))</f>
        <v/>
      </c>
      <c r="D321">
        <f>IF(A321="","",A321-MIN($A$5:$A$400)+1)</f>
        <v/>
      </c>
      <c r="E321" s="16">
        <f>IF(OR(A321="",B321&lt;=0),"",LN(B321))</f>
        <v/>
      </c>
      <c r="F321" s="16">
        <f>IF(E321="","",$L$6+$L$5*D321)</f>
        <v/>
      </c>
      <c r="G321" s="16">
        <f>IF(E321="","",E321-F321)</f>
        <v/>
      </c>
      <c r="H321" s="16">
        <f>IF(E321="","",F321+INDEX($L$9:$L$15,C321))</f>
        <v/>
      </c>
      <c r="I321" s="16">
        <f>IF(E321="","",E321-H321)</f>
        <v/>
      </c>
    </row>
    <row r="322">
      <c r="A322" s="5" t="n"/>
      <c r="B322" s="7" t="n"/>
      <c r="C322">
        <f>IF(A322="","",WEEKDAY(A322,2))</f>
        <v/>
      </c>
      <c r="D322">
        <f>IF(A322="","",A322-MIN($A$5:$A$400)+1)</f>
        <v/>
      </c>
      <c r="E322" s="16">
        <f>IF(OR(A322="",B322&lt;=0),"",LN(B322))</f>
        <v/>
      </c>
      <c r="F322" s="16">
        <f>IF(E322="","",$L$6+$L$5*D322)</f>
        <v/>
      </c>
      <c r="G322" s="16">
        <f>IF(E322="","",E322-F322)</f>
        <v/>
      </c>
      <c r="H322" s="16">
        <f>IF(E322="","",F322+INDEX($L$9:$L$15,C322))</f>
        <v/>
      </c>
      <c r="I322" s="16">
        <f>IF(E322="","",E322-H322)</f>
        <v/>
      </c>
    </row>
    <row r="323">
      <c r="A323" s="5" t="n"/>
      <c r="B323" s="7" t="n"/>
      <c r="C323">
        <f>IF(A323="","",WEEKDAY(A323,2))</f>
        <v/>
      </c>
      <c r="D323">
        <f>IF(A323="","",A323-MIN($A$5:$A$400)+1)</f>
        <v/>
      </c>
      <c r="E323" s="16">
        <f>IF(OR(A323="",B323&lt;=0),"",LN(B323))</f>
        <v/>
      </c>
      <c r="F323" s="16">
        <f>IF(E323="","",$L$6+$L$5*D323)</f>
        <v/>
      </c>
      <c r="G323" s="16">
        <f>IF(E323="","",E323-F323)</f>
        <v/>
      </c>
      <c r="H323" s="16">
        <f>IF(E323="","",F323+INDEX($L$9:$L$15,C323))</f>
        <v/>
      </c>
      <c r="I323" s="16">
        <f>IF(E323="","",E323-H323)</f>
        <v/>
      </c>
    </row>
    <row r="324">
      <c r="A324" s="5" t="n"/>
      <c r="B324" s="7" t="n"/>
      <c r="C324">
        <f>IF(A324="","",WEEKDAY(A324,2))</f>
        <v/>
      </c>
      <c r="D324">
        <f>IF(A324="","",A324-MIN($A$5:$A$400)+1)</f>
        <v/>
      </c>
      <c r="E324" s="16">
        <f>IF(OR(A324="",B324&lt;=0),"",LN(B324))</f>
        <v/>
      </c>
      <c r="F324" s="16">
        <f>IF(E324="","",$L$6+$L$5*D324)</f>
        <v/>
      </c>
      <c r="G324" s="16">
        <f>IF(E324="","",E324-F324)</f>
        <v/>
      </c>
      <c r="H324" s="16">
        <f>IF(E324="","",F324+INDEX($L$9:$L$15,C324))</f>
        <v/>
      </c>
      <c r="I324" s="16">
        <f>IF(E324="","",E324-H324)</f>
        <v/>
      </c>
    </row>
    <row r="325">
      <c r="A325" s="5" t="n"/>
      <c r="B325" s="7" t="n"/>
      <c r="C325">
        <f>IF(A325="","",WEEKDAY(A325,2))</f>
        <v/>
      </c>
      <c r="D325">
        <f>IF(A325="","",A325-MIN($A$5:$A$400)+1)</f>
        <v/>
      </c>
      <c r="E325" s="16">
        <f>IF(OR(A325="",B325&lt;=0),"",LN(B325))</f>
        <v/>
      </c>
      <c r="F325" s="16">
        <f>IF(E325="","",$L$6+$L$5*D325)</f>
        <v/>
      </c>
      <c r="G325" s="16">
        <f>IF(E325="","",E325-F325)</f>
        <v/>
      </c>
      <c r="H325" s="16">
        <f>IF(E325="","",F325+INDEX($L$9:$L$15,C325))</f>
        <v/>
      </c>
      <c r="I325" s="16">
        <f>IF(E325="","",E325-H325)</f>
        <v/>
      </c>
    </row>
    <row r="326">
      <c r="A326" s="5" t="n"/>
      <c r="B326" s="7" t="n"/>
      <c r="C326">
        <f>IF(A326="","",WEEKDAY(A326,2))</f>
        <v/>
      </c>
      <c r="D326">
        <f>IF(A326="","",A326-MIN($A$5:$A$400)+1)</f>
        <v/>
      </c>
      <c r="E326" s="16">
        <f>IF(OR(A326="",B326&lt;=0),"",LN(B326))</f>
        <v/>
      </c>
      <c r="F326" s="16">
        <f>IF(E326="","",$L$6+$L$5*D326)</f>
        <v/>
      </c>
      <c r="G326" s="16">
        <f>IF(E326="","",E326-F326)</f>
        <v/>
      </c>
      <c r="H326" s="16">
        <f>IF(E326="","",F326+INDEX($L$9:$L$15,C326))</f>
        <v/>
      </c>
      <c r="I326" s="16">
        <f>IF(E326="","",E326-H326)</f>
        <v/>
      </c>
    </row>
    <row r="327">
      <c r="A327" s="5" t="n"/>
      <c r="B327" s="7" t="n"/>
      <c r="C327">
        <f>IF(A327="","",WEEKDAY(A327,2))</f>
        <v/>
      </c>
      <c r="D327">
        <f>IF(A327="","",A327-MIN($A$5:$A$400)+1)</f>
        <v/>
      </c>
      <c r="E327" s="16">
        <f>IF(OR(A327="",B327&lt;=0),"",LN(B327))</f>
        <v/>
      </c>
      <c r="F327" s="16">
        <f>IF(E327="","",$L$6+$L$5*D327)</f>
        <v/>
      </c>
      <c r="G327" s="16">
        <f>IF(E327="","",E327-F327)</f>
        <v/>
      </c>
      <c r="H327" s="16">
        <f>IF(E327="","",F327+INDEX($L$9:$L$15,C327))</f>
        <v/>
      </c>
      <c r="I327" s="16">
        <f>IF(E327="","",E327-H327)</f>
        <v/>
      </c>
    </row>
    <row r="328">
      <c r="A328" s="5" t="n"/>
      <c r="B328" s="7" t="n"/>
      <c r="C328">
        <f>IF(A328="","",WEEKDAY(A328,2))</f>
        <v/>
      </c>
      <c r="D328">
        <f>IF(A328="","",A328-MIN($A$5:$A$400)+1)</f>
        <v/>
      </c>
      <c r="E328" s="16">
        <f>IF(OR(A328="",B328&lt;=0),"",LN(B328))</f>
        <v/>
      </c>
      <c r="F328" s="16">
        <f>IF(E328="","",$L$6+$L$5*D328)</f>
        <v/>
      </c>
      <c r="G328" s="16">
        <f>IF(E328="","",E328-F328)</f>
        <v/>
      </c>
      <c r="H328" s="16">
        <f>IF(E328="","",F328+INDEX($L$9:$L$15,C328))</f>
        <v/>
      </c>
      <c r="I328" s="16">
        <f>IF(E328="","",E328-H328)</f>
        <v/>
      </c>
    </row>
    <row r="329">
      <c r="A329" s="5" t="n"/>
      <c r="B329" s="7" t="n"/>
      <c r="C329">
        <f>IF(A329="","",WEEKDAY(A329,2))</f>
        <v/>
      </c>
      <c r="D329">
        <f>IF(A329="","",A329-MIN($A$5:$A$400)+1)</f>
        <v/>
      </c>
      <c r="E329" s="16">
        <f>IF(OR(A329="",B329&lt;=0),"",LN(B329))</f>
        <v/>
      </c>
      <c r="F329" s="16">
        <f>IF(E329="","",$L$6+$L$5*D329)</f>
        <v/>
      </c>
      <c r="G329" s="16">
        <f>IF(E329="","",E329-F329)</f>
        <v/>
      </c>
      <c r="H329" s="16">
        <f>IF(E329="","",F329+INDEX($L$9:$L$15,C329))</f>
        <v/>
      </c>
      <c r="I329" s="16">
        <f>IF(E329="","",E329-H329)</f>
        <v/>
      </c>
    </row>
    <row r="330">
      <c r="A330" s="5" t="n"/>
      <c r="B330" s="7" t="n"/>
      <c r="C330">
        <f>IF(A330="","",WEEKDAY(A330,2))</f>
        <v/>
      </c>
      <c r="D330">
        <f>IF(A330="","",A330-MIN($A$5:$A$400)+1)</f>
        <v/>
      </c>
      <c r="E330" s="16">
        <f>IF(OR(A330="",B330&lt;=0),"",LN(B330))</f>
        <v/>
      </c>
      <c r="F330" s="16">
        <f>IF(E330="","",$L$6+$L$5*D330)</f>
        <v/>
      </c>
      <c r="G330" s="16">
        <f>IF(E330="","",E330-F330)</f>
        <v/>
      </c>
      <c r="H330" s="16">
        <f>IF(E330="","",F330+INDEX($L$9:$L$15,C330))</f>
        <v/>
      </c>
      <c r="I330" s="16">
        <f>IF(E330="","",E330-H330)</f>
        <v/>
      </c>
    </row>
    <row r="331">
      <c r="A331" s="5" t="n"/>
      <c r="B331" s="7" t="n"/>
      <c r="C331">
        <f>IF(A331="","",WEEKDAY(A331,2))</f>
        <v/>
      </c>
      <c r="D331">
        <f>IF(A331="","",A331-MIN($A$5:$A$400)+1)</f>
        <v/>
      </c>
      <c r="E331" s="16">
        <f>IF(OR(A331="",B331&lt;=0),"",LN(B331))</f>
        <v/>
      </c>
      <c r="F331" s="16">
        <f>IF(E331="","",$L$6+$L$5*D331)</f>
        <v/>
      </c>
      <c r="G331" s="16">
        <f>IF(E331="","",E331-F331)</f>
        <v/>
      </c>
      <c r="H331" s="16">
        <f>IF(E331="","",F331+INDEX($L$9:$L$15,C331))</f>
        <v/>
      </c>
      <c r="I331" s="16">
        <f>IF(E331="","",E331-H331)</f>
        <v/>
      </c>
    </row>
    <row r="332">
      <c r="A332" s="5" t="n"/>
      <c r="B332" s="7" t="n"/>
      <c r="C332">
        <f>IF(A332="","",WEEKDAY(A332,2))</f>
        <v/>
      </c>
      <c r="D332">
        <f>IF(A332="","",A332-MIN($A$5:$A$400)+1)</f>
        <v/>
      </c>
      <c r="E332" s="16">
        <f>IF(OR(A332="",B332&lt;=0),"",LN(B332))</f>
        <v/>
      </c>
      <c r="F332" s="16">
        <f>IF(E332="","",$L$6+$L$5*D332)</f>
        <v/>
      </c>
      <c r="G332" s="16">
        <f>IF(E332="","",E332-F332)</f>
        <v/>
      </c>
      <c r="H332" s="16">
        <f>IF(E332="","",F332+INDEX($L$9:$L$15,C332))</f>
        <v/>
      </c>
      <c r="I332" s="16">
        <f>IF(E332="","",E332-H332)</f>
        <v/>
      </c>
    </row>
    <row r="333">
      <c r="A333" s="5" t="n"/>
      <c r="B333" s="7" t="n"/>
      <c r="C333">
        <f>IF(A333="","",WEEKDAY(A333,2))</f>
        <v/>
      </c>
      <c r="D333">
        <f>IF(A333="","",A333-MIN($A$5:$A$400)+1)</f>
        <v/>
      </c>
      <c r="E333" s="16">
        <f>IF(OR(A333="",B333&lt;=0),"",LN(B333))</f>
        <v/>
      </c>
      <c r="F333" s="16">
        <f>IF(E333="","",$L$6+$L$5*D333)</f>
        <v/>
      </c>
      <c r="G333" s="16">
        <f>IF(E333="","",E333-F333)</f>
        <v/>
      </c>
      <c r="H333" s="16">
        <f>IF(E333="","",F333+INDEX($L$9:$L$15,C333))</f>
        <v/>
      </c>
      <c r="I333" s="16">
        <f>IF(E333="","",E333-H333)</f>
        <v/>
      </c>
    </row>
    <row r="334">
      <c r="A334" s="5" t="n"/>
      <c r="B334" s="7" t="n"/>
      <c r="C334">
        <f>IF(A334="","",WEEKDAY(A334,2))</f>
        <v/>
      </c>
      <c r="D334">
        <f>IF(A334="","",A334-MIN($A$5:$A$400)+1)</f>
        <v/>
      </c>
      <c r="E334" s="16">
        <f>IF(OR(A334="",B334&lt;=0),"",LN(B334))</f>
        <v/>
      </c>
      <c r="F334" s="16">
        <f>IF(E334="","",$L$6+$L$5*D334)</f>
        <v/>
      </c>
      <c r="G334" s="16">
        <f>IF(E334="","",E334-F334)</f>
        <v/>
      </c>
      <c r="H334" s="16">
        <f>IF(E334="","",F334+INDEX($L$9:$L$15,C334))</f>
        <v/>
      </c>
      <c r="I334" s="16">
        <f>IF(E334="","",E334-H334)</f>
        <v/>
      </c>
    </row>
    <row r="335">
      <c r="A335" s="5" t="n"/>
      <c r="B335" s="7" t="n"/>
      <c r="C335">
        <f>IF(A335="","",WEEKDAY(A335,2))</f>
        <v/>
      </c>
      <c r="D335">
        <f>IF(A335="","",A335-MIN($A$5:$A$400)+1)</f>
        <v/>
      </c>
      <c r="E335" s="16">
        <f>IF(OR(A335="",B335&lt;=0),"",LN(B335))</f>
        <v/>
      </c>
      <c r="F335" s="16">
        <f>IF(E335="","",$L$6+$L$5*D335)</f>
        <v/>
      </c>
      <c r="G335" s="16">
        <f>IF(E335="","",E335-F335)</f>
        <v/>
      </c>
      <c r="H335" s="16">
        <f>IF(E335="","",F335+INDEX($L$9:$L$15,C335))</f>
        <v/>
      </c>
      <c r="I335" s="16">
        <f>IF(E335="","",E335-H335)</f>
        <v/>
      </c>
    </row>
    <row r="336">
      <c r="A336" s="5" t="n"/>
      <c r="B336" s="7" t="n"/>
      <c r="C336">
        <f>IF(A336="","",WEEKDAY(A336,2))</f>
        <v/>
      </c>
      <c r="D336">
        <f>IF(A336="","",A336-MIN($A$5:$A$400)+1)</f>
        <v/>
      </c>
      <c r="E336" s="16">
        <f>IF(OR(A336="",B336&lt;=0),"",LN(B336))</f>
        <v/>
      </c>
      <c r="F336" s="16">
        <f>IF(E336="","",$L$6+$L$5*D336)</f>
        <v/>
      </c>
      <c r="G336" s="16">
        <f>IF(E336="","",E336-F336)</f>
        <v/>
      </c>
      <c r="H336" s="16">
        <f>IF(E336="","",F336+INDEX($L$9:$L$15,C336))</f>
        <v/>
      </c>
      <c r="I336" s="16">
        <f>IF(E336="","",E336-H336)</f>
        <v/>
      </c>
    </row>
    <row r="337">
      <c r="A337" s="5" t="n"/>
      <c r="B337" s="7" t="n"/>
      <c r="C337">
        <f>IF(A337="","",WEEKDAY(A337,2))</f>
        <v/>
      </c>
      <c r="D337">
        <f>IF(A337="","",A337-MIN($A$5:$A$400)+1)</f>
        <v/>
      </c>
      <c r="E337" s="16">
        <f>IF(OR(A337="",B337&lt;=0),"",LN(B337))</f>
        <v/>
      </c>
      <c r="F337" s="16">
        <f>IF(E337="","",$L$6+$L$5*D337)</f>
        <v/>
      </c>
      <c r="G337" s="16">
        <f>IF(E337="","",E337-F337)</f>
        <v/>
      </c>
      <c r="H337" s="16">
        <f>IF(E337="","",F337+INDEX($L$9:$L$15,C337))</f>
        <v/>
      </c>
      <c r="I337" s="16">
        <f>IF(E337="","",E337-H337)</f>
        <v/>
      </c>
    </row>
    <row r="338">
      <c r="A338" s="5" t="n"/>
      <c r="B338" s="7" t="n"/>
      <c r="C338">
        <f>IF(A338="","",WEEKDAY(A338,2))</f>
        <v/>
      </c>
      <c r="D338">
        <f>IF(A338="","",A338-MIN($A$5:$A$400)+1)</f>
        <v/>
      </c>
      <c r="E338" s="16">
        <f>IF(OR(A338="",B338&lt;=0),"",LN(B338))</f>
        <v/>
      </c>
      <c r="F338" s="16">
        <f>IF(E338="","",$L$6+$L$5*D338)</f>
        <v/>
      </c>
      <c r="G338" s="16">
        <f>IF(E338="","",E338-F338)</f>
        <v/>
      </c>
      <c r="H338" s="16">
        <f>IF(E338="","",F338+INDEX($L$9:$L$15,C338))</f>
        <v/>
      </c>
      <c r="I338" s="16">
        <f>IF(E338="","",E338-H338)</f>
        <v/>
      </c>
    </row>
    <row r="339">
      <c r="A339" s="5" t="n"/>
      <c r="B339" s="7" t="n"/>
      <c r="C339">
        <f>IF(A339="","",WEEKDAY(A339,2))</f>
        <v/>
      </c>
      <c r="D339">
        <f>IF(A339="","",A339-MIN($A$5:$A$400)+1)</f>
        <v/>
      </c>
      <c r="E339" s="16">
        <f>IF(OR(A339="",B339&lt;=0),"",LN(B339))</f>
        <v/>
      </c>
      <c r="F339" s="16">
        <f>IF(E339="","",$L$6+$L$5*D339)</f>
        <v/>
      </c>
      <c r="G339" s="16">
        <f>IF(E339="","",E339-F339)</f>
        <v/>
      </c>
      <c r="H339" s="16">
        <f>IF(E339="","",F339+INDEX($L$9:$L$15,C339))</f>
        <v/>
      </c>
      <c r="I339" s="16">
        <f>IF(E339="","",E339-H339)</f>
        <v/>
      </c>
    </row>
    <row r="340">
      <c r="A340" s="5" t="n"/>
      <c r="B340" s="7" t="n"/>
      <c r="C340">
        <f>IF(A340="","",WEEKDAY(A340,2))</f>
        <v/>
      </c>
      <c r="D340">
        <f>IF(A340="","",A340-MIN($A$5:$A$400)+1)</f>
        <v/>
      </c>
      <c r="E340" s="16">
        <f>IF(OR(A340="",B340&lt;=0),"",LN(B340))</f>
        <v/>
      </c>
      <c r="F340" s="16">
        <f>IF(E340="","",$L$6+$L$5*D340)</f>
        <v/>
      </c>
      <c r="G340" s="16">
        <f>IF(E340="","",E340-F340)</f>
        <v/>
      </c>
      <c r="H340" s="16">
        <f>IF(E340="","",F340+INDEX($L$9:$L$15,C340))</f>
        <v/>
      </c>
      <c r="I340" s="16">
        <f>IF(E340="","",E340-H340)</f>
        <v/>
      </c>
    </row>
    <row r="341">
      <c r="A341" s="5" t="n"/>
      <c r="B341" s="7" t="n"/>
      <c r="C341">
        <f>IF(A341="","",WEEKDAY(A341,2))</f>
        <v/>
      </c>
      <c r="D341">
        <f>IF(A341="","",A341-MIN($A$5:$A$400)+1)</f>
        <v/>
      </c>
      <c r="E341" s="16">
        <f>IF(OR(A341="",B341&lt;=0),"",LN(B341))</f>
        <v/>
      </c>
      <c r="F341" s="16">
        <f>IF(E341="","",$L$6+$L$5*D341)</f>
        <v/>
      </c>
      <c r="G341" s="16">
        <f>IF(E341="","",E341-F341)</f>
        <v/>
      </c>
      <c r="H341" s="16">
        <f>IF(E341="","",F341+INDEX($L$9:$L$15,C341))</f>
        <v/>
      </c>
      <c r="I341" s="16">
        <f>IF(E341="","",E341-H341)</f>
        <v/>
      </c>
    </row>
    <row r="342">
      <c r="A342" s="5" t="n"/>
      <c r="B342" s="7" t="n"/>
      <c r="C342">
        <f>IF(A342="","",WEEKDAY(A342,2))</f>
        <v/>
      </c>
      <c r="D342">
        <f>IF(A342="","",A342-MIN($A$5:$A$400)+1)</f>
        <v/>
      </c>
      <c r="E342" s="16">
        <f>IF(OR(A342="",B342&lt;=0),"",LN(B342))</f>
        <v/>
      </c>
      <c r="F342" s="16">
        <f>IF(E342="","",$L$6+$L$5*D342)</f>
        <v/>
      </c>
      <c r="G342" s="16">
        <f>IF(E342="","",E342-F342)</f>
        <v/>
      </c>
      <c r="H342" s="16">
        <f>IF(E342="","",F342+INDEX($L$9:$L$15,C342))</f>
        <v/>
      </c>
      <c r="I342" s="16">
        <f>IF(E342="","",E342-H342)</f>
        <v/>
      </c>
    </row>
    <row r="343">
      <c r="A343" s="5" t="n"/>
      <c r="B343" s="7" t="n"/>
      <c r="C343">
        <f>IF(A343="","",WEEKDAY(A343,2))</f>
        <v/>
      </c>
      <c r="D343">
        <f>IF(A343="","",A343-MIN($A$5:$A$400)+1)</f>
        <v/>
      </c>
      <c r="E343" s="16">
        <f>IF(OR(A343="",B343&lt;=0),"",LN(B343))</f>
        <v/>
      </c>
      <c r="F343" s="16">
        <f>IF(E343="","",$L$6+$L$5*D343)</f>
        <v/>
      </c>
      <c r="G343" s="16">
        <f>IF(E343="","",E343-F343)</f>
        <v/>
      </c>
      <c r="H343" s="16">
        <f>IF(E343="","",F343+INDEX($L$9:$L$15,C343))</f>
        <v/>
      </c>
      <c r="I343" s="16">
        <f>IF(E343="","",E343-H343)</f>
        <v/>
      </c>
    </row>
    <row r="344">
      <c r="A344" s="5" t="n"/>
      <c r="B344" s="7" t="n"/>
      <c r="C344">
        <f>IF(A344="","",WEEKDAY(A344,2))</f>
        <v/>
      </c>
      <c r="D344">
        <f>IF(A344="","",A344-MIN($A$5:$A$400)+1)</f>
        <v/>
      </c>
      <c r="E344" s="16">
        <f>IF(OR(A344="",B344&lt;=0),"",LN(B344))</f>
        <v/>
      </c>
      <c r="F344" s="16">
        <f>IF(E344="","",$L$6+$L$5*D344)</f>
        <v/>
      </c>
      <c r="G344" s="16">
        <f>IF(E344="","",E344-F344)</f>
        <v/>
      </c>
      <c r="H344" s="16">
        <f>IF(E344="","",F344+INDEX($L$9:$L$15,C344))</f>
        <v/>
      </c>
      <c r="I344" s="16">
        <f>IF(E344="","",E344-H344)</f>
        <v/>
      </c>
    </row>
    <row r="345">
      <c r="A345" s="5" t="n"/>
      <c r="B345" s="7" t="n"/>
      <c r="C345">
        <f>IF(A345="","",WEEKDAY(A345,2))</f>
        <v/>
      </c>
      <c r="D345">
        <f>IF(A345="","",A345-MIN($A$5:$A$400)+1)</f>
        <v/>
      </c>
      <c r="E345" s="16">
        <f>IF(OR(A345="",B345&lt;=0),"",LN(B345))</f>
        <v/>
      </c>
      <c r="F345" s="16">
        <f>IF(E345="","",$L$6+$L$5*D345)</f>
        <v/>
      </c>
      <c r="G345" s="16">
        <f>IF(E345="","",E345-F345)</f>
        <v/>
      </c>
      <c r="H345" s="16">
        <f>IF(E345="","",F345+INDEX($L$9:$L$15,C345))</f>
        <v/>
      </c>
      <c r="I345" s="16">
        <f>IF(E345="","",E345-H345)</f>
        <v/>
      </c>
    </row>
    <row r="346">
      <c r="A346" s="5" t="n"/>
      <c r="B346" s="7" t="n"/>
      <c r="C346">
        <f>IF(A346="","",WEEKDAY(A346,2))</f>
        <v/>
      </c>
      <c r="D346">
        <f>IF(A346="","",A346-MIN($A$5:$A$400)+1)</f>
        <v/>
      </c>
      <c r="E346" s="16">
        <f>IF(OR(A346="",B346&lt;=0),"",LN(B346))</f>
        <v/>
      </c>
      <c r="F346" s="16">
        <f>IF(E346="","",$L$6+$L$5*D346)</f>
        <v/>
      </c>
      <c r="G346" s="16">
        <f>IF(E346="","",E346-F346)</f>
        <v/>
      </c>
      <c r="H346" s="16">
        <f>IF(E346="","",F346+INDEX($L$9:$L$15,C346))</f>
        <v/>
      </c>
      <c r="I346" s="16">
        <f>IF(E346="","",E346-H346)</f>
        <v/>
      </c>
    </row>
    <row r="347">
      <c r="A347" s="5" t="n"/>
      <c r="B347" s="7" t="n"/>
      <c r="C347">
        <f>IF(A347="","",WEEKDAY(A347,2))</f>
        <v/>
      </c>
      <c r="D347">
        <f>IF(A347="","",A347-MIN($A$5:$A$400)+1)</f>
        <v/>
      </c>
      <c r="E347" s="16">
        <f>IF(OR(A347="",B347&lt;=0),"",LN(B347))</f>
        <v/>
      </c>
      <c r="F347" s="16">
        <f>IF(E347="","",$L$6+$L$5*D347)</f>
        <v/>
      </c>
      <c r="G347" s="16">
        <f>IF(E347="","",E347-F347)</f>
        <v/>
      </c>
      <c r="H347" s="16">
        <f>IF(E347="","",F347+INDEX($L$9:$L$15,C347))</f>
        <v/>
      </c>
      <c r="I347" s="16">
        <f>IF(E347="","",E347-H347)</f>
        <v/>
      </c>
    </row>
    <row r="348">
      <c r="A348" s="5" t="n"/>
      <c r="B348" s="7" t="n"/>
      <c r="C348">
        <f>IF(A348="","",WEEKDAY(A348,2))</f>
        <v/>
      </c>
      <c r="D348">
        <f>IF(A348="","",A348-MIN($A$5:$A$400)+1)</f>
        <v/>
      </c>
      <c r="E348" s="16">
        <f>IF(OR(A348="",B348&lt;=0),"",LN(B348))</f>
        <v/>
      </c>
      <c r="F348" s="16">
        <f>IF(E348="","",$L$6+$L$5*D348)</f>
        <v/>
      </c>
      <c r="G348" s="16">
        <f>IF(E348="","",E348-F348)</f>
        <v/>
      </c>
      <c r="H348" s="16">
        <f>IF(E348="","",F348+INDEX($L$9:$L$15,C348))</f>
        <v/>
      </c>
      <c r="I348" s="16">
        <f>IF(E348="","",E348-H348)</f>
        <v/>
      </c>
    </row>
    <row r="349">
      <c r="A349" s="5" t="n"/>
      <c r="B349" s="7" t="n"/>
      <c r="C349">
        <f>IF(A349="","",WEEKDAY(A349,2))</f>
        <v/>
      </c>
      <c r="D349">
        <f>IF(A349="","",A349-MIN($A$5:$A$400)+1)</f>
        <v/>
      </c>
      <c r="E349" s="16">
        <f>IF(OR(A349="",B349&lt;=0),"",LN(B349))</f>
        <v/>
      </c>
      <c r="F349" s="16">
        <f>IF(E349="","",$L$6+$L$5*D349)</f>
        <v/>
      </c>
      <c r="G349" s="16">
        <f>IF(E349="","",E349-F349)</f>
        <v/>
      </c>
      <c r="H349" s="16">
        <f>IF(E349="","",F349+INDEX($L$9:$L$15,C349))</f>
        <v/>
      </c>
      <c r="I349" s="16">
        <f>IF(E349="","",E349-H349)</f>
        <v/>
      </c>
    </row>
    <row r="350">
      <c r="A350" s="5" t="n"/>
      <c r="B350" s="7" t="n"/>
      <c r="C350">
        <f>IF(A350="","",WEEKDAY(A350,2))</f>
        <v/>
      </c>
      <c r="D350">
        <f>IF(A350="","",A350-MIN($A$5:$A$400)+1)</f>
        <v/>
      </c>
      <c r="E350" s="16">
        <f>IF(OR(A350="",B350&lt;=0),"",LN(B350))</f>
        <v/>
      </c>
      <c r="F350" s="16">
        <f>IF(E350="","",$L$6+$L$5*D350)</f>
        <v/>
      </c>
      <c r="G350" s="16">
        <f>IF(E350="","",E350-F350)</f>
        <v/>
      </c>
      <c r="H350" s="16">
        <f>IF(E350="","",F350+INDEX($L$9:$L$15,C350))</f>
        <v/>
      </c>
      <c r="I350" s="16">
        <f>IF(E350="","",E350-H350)</f>
        <v/>
      </c>
    </row>
    <row r="351">
      <c r="A351" s="5" t="n"/>
      <c r="B351" s="7" t="n"/>
      <c r="C351">
        <f>IF(A351="","",WEEKDAY(A351,2))</f>
        <v/>
      </c>
      <c r="D351">
        <f>IF(A351="","",A351-MIN($A$5:$A$400)+1)</f>
        <v/>
      </c>
      <c r="E351" s="16">
        <f>IF(OR(A351="",B351&lt;=0),"",LN(B351))</f>
        <v/>
      </c>
      <c r="F351" s="16">
        <f>IF(E351="","",$L$6+$L$5*D351)</f>
        <v/>
      </c>
      <c r="G351" s="16">
        <f>IF(E351="","",E351-F351)</f>
        <v/>
      </c>
      <c r="H351" s="16">
        <f>IF(E351="","",F351+INDEX($L$9:$L$15,C351))</f>
        <v/>
      </c>
      <c r="I351" s="16">
        <f>IF(E351="","",E351-H351)</f>
        <v/>
      </c>
    </row>
    <row r="352">
      <c r="A352" s="5" t="n"/>
      <c r="B352" s="7" t="n"/>
      <c r="C352">
        <f>IF(A352="","",WEEKDAY(A352,2))</f>
        <v/>
      </c>
      <c r="D352">
        <f>IF(A352="","",A352-MIN($A$5:$A$400)+1)</f>
        <v/>
      </c>
      <c r="E352" s="16">
        <f>IF(OR(A352="",B352&lt;=0),"",LN(B352))</f>
        <v/>
      </c>
      <c r="F352" s="16">
        <f>IF(E352="","",$L$6+$L$5*D352)</f>
        <v/>
      </c>
      <c r="G352" s="16">
        <f>IF(E352="","",E352-F352)</f>
        <v/>
      </c>
      <c r="H352" s="16">
        <f>IF(E352="","",F352+INDEX($L$9:$L$15,C352))</f>
        <v/>
      </c>
      <c r="I352" s="16">
        <f>IF(E352="","",E352-H352)</f>
        <v/>
      </c>
    </row>
    <row r="353">
      <c r="A353" s="5" t="n"/>
      <c r="B353" s="7" t="n"/>
      <c r="C353">
        <f>IF(A353="","",WEEKDAY(A353,2))</f>
        <v/>
      </c>
      <c r="D353">
        <f>IF(A353="","",A353-MIN($A$5:$A$400)+1)</f>
        <v/>
      </c>
      <c r="E353" s="16">
        <f>IF(OR(A353="",B353&lt;=0),"",LN(B353))</f>
        <v/>
      </c>
      <c r="F353" s="16">
        <f>IF(E353="","",$L$6+$L$5*D353)</f>
        <v/>
      </c>
      <c r="G353" s="16">
        <f>IF(E353="","",E353-F353)</f>
        <v/>
      </c>
      <c r="H353" s="16">
        <f>IF(E353="","",F353+INDEX($L$9:$L$15,C353))</f>
        <v/>
      </c>
      <c r="I353" s="16">
        <f>IF(E353="","",E353-H353)</f>
        <v/>
      </c>
    </row>
    <row r="354">
      <c r="A354" s="5" t="n"/>
      <c r="B354" s="7" t="n"/>
      <c r="C354">
        <f>IF(A354="","",WEEKDAY(A354,2))</f>
        <v/>
      </c>
      <c r="D354">
        <f>IF(A354="","",A354-MIN($A$5:$A$400)+1)</f>
        <v/>
      </c>
      <c r="E354" s="16">
        <f>IF(OR(A354="",B354&lt;=0),"",LN(B354))</f>
        <v/>
      </c>
      <c r="F354" s="16">
        <f>IF(E354="","",$L$6+$L$5*D354)</f>
        <v/>
      </c>
      <c r="G354" s="16">
        <f>IF(E354="","",E354-F354)</f>
        <v/>
      </c>
      <c r="H354" s="16">
        <f>IF(E354="","",F354+INDEX($L$9:$L$15,C354))</f>
        <v/>
      </c>
      <c r="I354" s="16">
        <f>IF(E354="","",E354-H354)</f>
        <v/>
      </c>
    </row>
    <row r="355">
      <c r="A355" s="5" t="n"/>
      <c r="B355" s="7" t="n"/>
      <c r="C355">
        <f>IF(A355="","",WEEKDAY(A355,2))</f>
        <v/>
      </c>
      <c r="D355">
        <f>IF(A355="","",A355-MIN($A$5:$A$400)+1)</f>
        <v/>
      </c>
      <c r="E355" s="16">
        <f>IF(OR(A355="",B355&lt;=0),"",LN(B355))</f>
        <v/>
      </c>
      <c r="F355" s="16">
        <f>IF(E355="","",$L$6+$L$5*D355)</f>
        <v/>
      </c>
      <c r="G355" s="16">
        <f>IF(E355="","",E355-F355)</f>
        <v/>
      </c>
      <c r="H355" s="16">
        <f>IF(E355="","",F355+INDEX($L$9:$L$15,C355))</f>
        <v/>
      </c>
      <c r="I355" s="16">
        <f>IF(E355="","",E355-H355)</f>
        <v/>
      </c>
    </row>
    <row r="356">
      <c r="A356" s="5" t="n"/>
      <c r="B356" s="7" t="n"/>
      <c r="C356">
        <f>IF(A356="","",WEEKDAY(A356,2))</f>
        <v/>
      </c>
      <c r="D356">
        <f>IF(A356="","",A356-MIN($A$5:$A$400)+1)</f>
        <v/>
      </c>
      <c r="E356" s="16">
        <f>IF(OR(A356="",B356&lt;=0),"",LN(B356))</f>
        <v/>
      </c>
      <c r="F356" s="16">
        <f>IF(E356="","",$L$6+$L$5*D356)</f>
        <v/>
      </c>
      <c r="G356" s="16">
        <f>IF(E356="","",E356-F356)</f>
        <v/>
      </c>
      <c r="H356" s="16">
        <f>IF(E356="","",F356+INDEX($L$9:$L$15,C356))</f>
        <v/>
      </c>
      <c r="I356" s="16">
        <f>IF(E356="","",E356-H356)</f>
        <v/>
      </c>
    </row>
    <row r="357">
      <c r="A357" s="5" t="n"/>
      <c r="B357" s="7" t="n"/>
      <c r="C357">
        <f>IF(A357="","",WEEKDAY(A357,2))</f>
        <v/>
      </c>
      <c r="D357">
        <f>IF(A357="","",A357-MIN($A$5:$A$400)+1)</f>
        <v/>
      </c>
      <c r="E357" s="16">
        <f>IF(OR(A357="",B357&lt;=0),"",LN(B357))</f>
        <v/>
      </c>
      <c r="F357" s="16">
        <f>IF(E357="","",$L$6+$L$5*D357)</f>
        <v/>
      </c>
      <c r="G357" s="16">
        <f>IF(E357="","",E357-F357)</f>
        <v/>
      </c>
      <c r="H357" s="16">
        <f>IF(E357="","",F357+INDEX($L$9:$L$15,C357))</f>
        <v/>
      </c>
      <c r="I357" s="16">
        <f>IF(E357="","",E357-H357)</f>
        <v/>
      </c>
    </row>
    <row r="358">
      <c r="A358" s="5" t="n"/>
      <c r="B358" s="7" t="n"/>
      <c r="C358">
        <f>IF(A358="","",WEEKDAY(A358,2))</f>
        <v/>
      </c>
      <c r="D358">
        <f>IF(A358="","",A358-MIN($A$5:$A$400)+1)</f>
        <v/>
      </c>
      <c r="E358" s="16">
        <f>IF(OR(A358="",B358&lt;=0),"",LN(B358))</f>
        <v/>
      </c>
      <c r="F358" s="16">
        <f>IF(E358="","",$L$6+$L$5*D358)</f>
        <v/>
      </c>
      <c r="G358" s="16">
        <f>IF(E358="","",E358-F358)</f>
        <v/>
      </c>
      <c r="H358" s="16">
        <f>IF(E358="","",F358+INDEX($L$9:$L$15,C358))</f>
        <v/>
      </c>
      <c r="I358" s="16">
        <f>IF(E358="","",E358-H358)</f>
        <v/>
      </c>
    </row>
    <row r="359">
      <c r="A359" s="5" t="n"/>
      <c r="B359" s="7" t="n"/>
      <c r="C359">
        <f>IF(A359="","",WEEKDAY(A359,2))</f>
        <v/>
      </c>
      <c r="D359">
        <f>IF(A359="","",A359-MIN($A$5:$A$400)+1)</f>
        <v/>
      </c>
      <c r="E359" s="16">
        <f>IF(OR(A359="",B359&lt;=0),"",LN(B359))</f>
        <v/>
      </c>
      <c r="F359" s="16">
        <f>IF(E359="","",$L$6+$L$5*D359)</f>
        <v/>
      </c>
      <c r="G359" s="16">
        <f>IF(E359="","",E359-F359)</f>
        <v/>
      </c>
      <c r="H359" s="16">
        <f>IF(E359="","",F359+INDEX($L$9:$L$15,C359))</f>
        <v/>
      </c>
      <c r="I359" s="16">
        <f>IF(E359="","",E359-H359)</f>
        <v/>
      </c>
    </row>
    <row r="360">
      <c r="A360" s="5" t="n"/>
      <c r="B360" s="7" t="n"/>
      <c r="C360">
        <f>IF(A360="","",WEEKDAY(A360,2))</f>
        <v/>
      </c>
      <c r="D360">
        <f>IF(A360="","",A360-MIN($A$5:$A$400)+1)</f>
        <v/>
      </c>
      <c r="E360" s="16">
        <f>IF(OR(A360="",B360&lt;=0),"",LN(B360))</f>
        <v/>
      </c>
      <c r="F360" s="16">
        <f>IF(E360="","",$L$6+$L$5*D360)</f>
        <v/>
      </c>
      <c r="G360" s="16">
        <f>IF(E360="","",E360-F360)</f>
        <v/>
      </c>
      <c r="H360" s="16">
        <f>IF(E360="","",F360+INDEX($L$9:$L$15,C360))</f>
        <v/>
      </c>
      <c r="I360" s="16">
        <f>IF(E360="","",E360-H360)</f>
        <v/>
      </c>
    </row>
    <row r="361">
      <c r="A361" s="5" t="n"/>
      <c r="B361" s="7" t="n"/>
      <c r="C361">
        <f>IF(A361="","",WEEKDAY(A361,2))</f>
        <v/>
      </c>
      <c r="D361">
        <f>IF(A361="","",A361-MIN($A$5:$A$400)+1)</f>
        <v/>
      </c>
      <c r="E361" s="16">
        <f>IF(OR(A361="",B361&lt;=0),"",LN(B361))</f>
        <v/>
      </c>
      <c r="F361" s="16">
        <f>IF(E361="","",$L$6+$L$5*D361)</f>
        <v/>
      </c>
      <c r="G361" s="16">
        <f>IF(E361="","",E361-F361)</f>
        <v/>
      </c>
      <c r="H361" s="16">
        <f>IF(E361="","",F361+INDEX($L$9:$L$15,C361))</f>
        <v/>
      </c>
      <c r="I361" s="16">
        <f>IF(E361="","",E361-H361)</f>
        <v/>
      </c>
    </row>
    <row r="362">
      <c r="A362" s="5" t="n"/>
      <c r="B362" s="7" t="n"/>
      <c r="C362">
        <f>IF(A362="","",WEEKDAY(A362,2))</f>
        <v/>
      </c>
      <c r="D362">
        <f>IF(A362="","",A362-MIN($A$5:$A$400)+1)</f>
        <v/>
      </c>
      <c r="E362" s="16">
        <f>IF(OR(A362="",B362&lt;=0),"",LN(B362))</f>
        <v/>
      </c>
      <c r="F362" s="16">
        <f>IF(E362="","",$L$6+$L$5*D362)</f>
        <v/>
      </c>
      <c r="G362" s="16">
        <f>IF(E362="","",E362-F362)</f>
        <v/>
      </c>
      <c r="H362" s="16">
        <f>IF(E362="","",F362+INDEX($L$9:$L$15,C362))</f>
        <v/>
      </c>
      <c r="I362" s="16">
        <f>IF(E362="","",E362-H362)</f>
        <v/>
      </c>
    </row>
    <row r="363">
      <c r="A363" s="5" t="n"/>
      <c r="B363" s="7" t="n"/>
      <c r="C363">
        <f>IF(A363="","",WEEKDAY(A363,2))</f>
        <v/>
      </c>
      <c r="D363">
        <f>IF(A363="","",A363-MIN($A$5:$A$400)+1)</f>
        <v/>
      </c>
      <c r="E363" s="16">
        <f>IF(OR(A363="",B363&lt;=0),"",LN(B363))</f>
        <v/>
      </c>
      <c r="F363" s="16">
        <f>IF(E363="","",$L$6+$L$5*D363)</f>
        <v/>
      </c>
      <c r="G363" s="16">
        <f>IF(E363="","",E363-F363)</f>
        <v/>
      </c>
      <c r="H363" s="16">
        <f>IF(E363="","",F363+INDEX($L$9:$L$15,C363))</f>
        <v/>
      </c>
      <c r="I363" s="16">
        <f>IF(E363="","",E363-H363)</f>
        <v/>
      </c>
    </row>
    <row r="364">
      <c r="A364" s="5" t="n"/>
      <c r="B364" s="7" t="n"/>
      <c r="C364">
        <f>IF(A364="","",WEEKDAY(A364,2))</f>
        <v/>
      </c>
      <c r="D364">
        <f>IF(A364="","",A364-MIN($A$5:$A$400)+1)</f>
        <v/>
      </c>
      <c r="E364" s="16">
        <f>IF(OR(A364="",B364&lt;=0),"",LN(B364))</f>
        <v/>
      </c>
      <c r="F364" s="16">
        <f>IF(E364="","",$L$6+$L$5*D364)</f>
        <v/>
      </c>
      <c r="G364" s="16">
        <f>IF(E364="","",E364-F364)</f>
        <v/>
      </c>
      <c r="H364" s="16">
        <f>IF(E364="","",F364+INDEX($L$9:$L$15,C364))</f>
        <v/>
      </c>
      <c r="I364" s="16">
        <f>IF(E364="","",E364-H364)</f>
        <v/>
      </c>
    </row>
    <row r="365">
      <c r="A365" s="5" t="n"/>
      <c r="B365" s="7" t="n"/>
      <c r="C365">
        <f>IF(A365="","",WEEKDAY(A365,2))</f>
        <v/>
      </c>
      <c r="D365">
        <f>IF(A365="","",A365-MIN($A$5:$A$400)+1)</f>
        <v/>
      </c>
      <c r="E365" s="16">
        <f>IF(OR(A365="",B365&lt;=0),"",LN(B365))</f>
        <v/>
      </c>
      <c r="F365" s="16">
        <f>IF(E365="","",$L$6+$L$5*D365)</f>
        <v/>
      </c>
      <c r="G365" s="16">
        <f>IF(E365="","",E365-F365)</f>
        <v/>
      </c>
      <c r="H365" s="16">
        <f>IF(E365="","",F365+INDEX($L$9:$L$15,C365))</f>
        <v/>
      </c>
      <c r="I365" s="16">
        <f>IF(E365="","",E365-H365)</f>
        <v/>
      </c>
    </row>
    <row r="366">
      <c r="A366" s="5" t="n"/>
      <c r="B366" s="7" t="n"/>
      <c r="C366">
        <f>IF(A366="","",WEEKDAY(A366,2))</f>
        <v/>
      </c>
      <c r="D366">
        <f>IF(A366="","",A366-MIN($A$5:$A$400)+1)</f>
        <v/>
      </c>
      <c r="E366" s="16">
        <f>IF(OR(A366="",B366&lt;=0),"",LN(B366))</f>
        <v/>
      </c>
      <c r="F366" s="16">
        <f>IF(E366="","",$L$6+$L$5*D366)</f>
        <v/>
      </c>
      <c r="G366" s="16">
        <f>IF(E366="","",E366-F366)</f>
        <v/>
      </c>
      <c r="H366" s="16">
        <f>IF(E366="","",F366+INDEX($L$9:$L$15,C366))</f>
        <v/>
      </c>
      <c r="I366" s="16">
        <f>IF(E366="","",E366-H366)</f>
        <v/>
      </c>
    </row>
    <row r="367">
      <c r="A367" s="5" t="n"/>
      <c r="B367" s="7" t="n"/>
      <c r="C367">
        <f>IF(A367="","",WEEKDAY(A367,2))</f>
        <v/>
      </c>
      <c r="D367">
        <f>IF(A367="","",A367-MIN($A$5:$A$400)+1)</f>
        <v/>
      </c>
      <c r="E367" s="16">
        <f>IF(OR(A367="",B367&lt;=0),"",LN(B367))</f>
        <v/>
      </c>
      <c r="F367" s="16">
        <f>IF(E367="","",$L$6+$L$5*D367)</f>
        <v/>
      </c>
      <c r="G367" s="16">
        <f>IF(E367="","",E367-F367)</f>
        <v/>
      </c>
      <c r="H367" s="16">
        <f>IF(E367="","",F367+INDEX($L$9:$L$15,C367))</f>
        <v/>
      </c>
      <c r="I367" s="16">
        <f>IF(E367="","",E367-H367)</f>
        <v/>
      </c>
    </row>
    <row r="368">
      <c r="A368" s="5" t="n"/>
      <c r="B368" s="7" t="n"/>
      <c r="C368">
        <f>IF(A368="","",WEEKDAY(A368,2))</f>
        <v/>
      </c>
      <c r="D368">
        <f>IF(A368="","",A368-MIN($A$5:$A$400)+1)</f>
        <v/>
      </c>
      <c r="E368" s="16">
        <f>IF(OR(A368="",B368&lt;=0),"",LN(B368))</f>
        <v/>
      </c>
      <c r="F368" s="16">
        <f>IF(E368="","",$L$6+$L$5*D368)</f>
        <v/>
      </c>
      <c r="G368" s="16">
        <f>IF(E368="","",E368-F368)</f>
        <v/>
      </c>
      <c r="H368" s="16">
        <f>IF(E368="","",F368+INDEX($L$9:$L$15,C368))</f>
        <v/>
      </c>
      <c r="I368" s="16">
        <f>IF(E368="","",E368-H368)</f>
        <v/>
      </c>
    </row>
    <row r="369">
      <c r="A369" s="5" t="n"/>
      <c r="B369" s="7" t="n"/>
      <c r="C369">
        <f>IF(A369="","",WEEKDAY(A369,2))</f>
        <v/>
      </c>
      <c r="D369">
        <f>IF(A369="","",A369-MIN($A$5:$A$400)+1)</f>
        <v/>
      </c>
      <c r="E369" s="16">
        <f>IF(OR(A369="",B369&lt;=0),"",LN(B369))</f>
        <v/>
      </c>
      <c r="F369" s="16">
        <f>IF(E369="","",$L$6+$L$5*D369)</f>
        <v/>
      </c>
      <c r="G369" s="16">
        <f>IF(E369="","",E369-F369)</f>
        <v/>
      </c>
      <c r="H369" s="16">
        <f>IF(E369="","",F369+INDEX($L$9:$L$15,C369))</f>
        <v/>
      </c>
      <c r="I369" s="16">
        <f>IF(E369="","",E369-H369)</f>
        <v/>
      </c>
    </row>
    <row r="370">
      <c r="A370" s="5" t="n"/>
      <c r="B370" s="7" t="n"/>
      <c r="C370">
        <f>IF(A370="","",WEEKDAY(A370,2))</f>
        <v/>
      </c>
      <c r="D370">
        <f>IF(A370="","",A370-MIN($A$5:$A$400)+1)</f>
        <v/>
      </c>
      <c r="E370" s="16">
        <f>IF(OR(A370="",B370&lt;=0),"",LN(B370))</f>
        <v/>
      </c>
      <c r="F370" s="16">
        <f>IF(E370="","",$L$6+$L$5*D370)</f>
        <v/>
      </c>
      <c r="G370" s="16">
        <f>IF(E370="","",E370-F370)</f>
        <v/>
      </c>
      <c r="H370" s="16">
        <f>IF(E370="","",F370+INDEX($L$9:$L$15,C370))</f>
        <v/>
      </c>
      <c r="I370" s="16">
        <f>IF(E370="","",E370-H370)</f>
        <v/>
      </c>
    </row>
    <row r="371">
      <c r="A371" s="5" t="n"/>
      <c r="B371" s="7" t="n"/>
      <c r="C371">
        <f>IF(A371="","",WEEKDAY(A371,2))</f>
        <v/>
      </c>
      <c r="D371">
        <f>IF(A371="","",A371-MIN($A$5:$A$400)+1)</f>
        <v/>
      </c>
      <c r="E371" s="16">
        <f>IF(OR(A371="",B371&lt;=0),"",LN(B371))</f>
        <v/>
      </c>
      <c r="F371" s="16">
        <f>IF(E371="","",$L$6+$L$5*D371)</f>
        <v/>
      </c>
      <c r="G371" s="16">
        <f>IF(E371="","",E371-F371)</f>
        <v/>
      </c>
      <c r="H371" s="16">
        <f>IF(E371="","",F371+INDEX($L$9:$L$15,C371))</f>
        <v/>
      </c>
      <c r="I371" s="16">
        <f>IF(E371="","",E371-H371)</f>
        <v/>
      </c>
    </row>
    <row r="372">
      <c r="A372" s="5" t="n"/>
      <c r="B372" s="7" t="n"/>
      <c r="C372">
        <f>IF(A372="","",WEEKDAY(A372,2))</f>
        <v/>
      </c>
      <c r="D372">
        <f>IF(A372="","",A372-MIN($A$5:$A$400)+1)</f>
        <v/>
      </c>
      <c r="E372" s="16">
        <f>IF(OR(A372="",B372&lt;=0),"",LN(B372))</f>
        <v/>
      </c>
      <c r="F372" s="16">
        <f>IF(E372="","",$L$6+$L$5*D372)</f>
        <v/>
      </c>
      <c r="G372" s="16">
        <f>IF(E372="","",E372-F372)</f>
        <v/>
      </c>
      <c r="H372" s="16">
        <f>IF(E372="","",F372+INDEX($L$9:$L$15,C372))</f>
        <v/>
      </c>
      <c r="I372" s="16">
        <f>IF(E372="","",E372-H372)</f>
        <v/>
      </c>
    </row>
    <row r="373">
      <c r="A373" s="5" t="n"/>
      <c r="B373" s="7" t="n"/>
      <c r="C373">
        <f>IF(A373="","",WEEKDAY(A373,2))</f>
        <v/>
      </c>
      <c r="D373">
        <f>IF(A373="","",A373-MIN($A$5:$A$400)+1)</f>
        <v/>
      </c>
      <c r="E373" s="16">
        <f>IF(OR(A373="",B373&lt;=0),"",LN(B373))</f>
        <v/>
      </c>
      <c r="F373" s="16">
        <f>IF(E373="","",$L$6+$L$5*D373)</f>
        <v/>
      </c>
      <c r="G373" s="16">
        <f>IF(E373="","",E373-F373)</f>
        <v/>
      </c>
      <c r="H373" s="16">
        <f>IF(E373="","",F373+INDEX($L$9:$L$15,C373))</f>
        <v/>
      </c>
      <c r="I373" s="16">
        <f>IF(E373="","",E373-H373)</f>
        <v/>
      </c>
    </row>
    <row r="374">
      <c r="A374" s="5" t="n"/>
      <c r="B374" s="7" t="n"/>
      <c r="C374">
        <f>IF(A374="","",WEEKDAY(A374,2))</f>
        <v/>
      </c>
      <c r="D374">
        <f>IF(A374="","",A374-MIN($A$5:$A$400)+1)</f>
        <v/>
      </c>
      <c r="E374" s="16">
        <f>IF(OR(A374="",B374&lt;=0),"",LN(B374))</f>
        <v/>
      </c>
      <c r="F374" s="16">
        <f>IF(E374="","",$L$6+$L$5*D374)</f>
        <v/>
      </c>
      <c r="G374" s="16">
        <f>IF(E374="","",E374-F374)</f>
        <v/>
      </c>
      <c r="H374" s="16">
        <f>IF(E374="","",F374+INDEX($L$9:$L$15,C374))</f>
        <v/>
      </c>
      <c r="I374" s="16">
        <f>IF(E374="","",E374-H374)</f>
        <v/>
      </c>
    </row>
    <row r="375">
      <c r="A375" s="5" t="n"/>
      <c r="B375" s="7" t="n"/>
      <c r="C375">
        <f>IF(A375="","",WEEKDAY(A375,2))</f>
        <v/>
      </c>
      <c r="D375">
        <f>IF(A375="","",A375-MIN($A$5:$A$400)+1)</f>
        <v/>
      </c>
      <c r="E375" s="16">
        <f>IF(OR(A375="",B375&lt;=0),"",LN(B375))</f>
        <v/>
      </c>
      <c r="F375" s="16">
        <f>IF(E375="","",$L$6+$L$5*D375)</f>
        <v/>
      </c>
      <c r="G375" s="16">
        <f>IF(E375="","",E375-F375)</f>
        <v/>
      </c>
      <c r="H375" s="16">
        <f>IF(E375="","",F375+INDEX($L$9:$L$15,C375))</f>
        <v/>
      </c>
      <c r="I375" s="16">
        <f>IF(E375="","",E375-H375)</f>
        <v/>
      </c>
    </row>
    <row r="376">
      <c r="A376" s="5" t="n"/>
      <c r="B376" s="7" t="n"/>
      <c r="C376">
        <f>IF(A376="","",WEEKDAY(A376,2))</f>
        <v/>
      </c>
      <c r="D376">
        <f>IF(A376="","",A376-MIN($A$5:$A$400)+1)</f>
        <v/>
      </c>
      <c r="E376" s="16">
        <f>IF(OR(A376="",B376&lt;=0),"",LN(B376))</f>
        <v/>
      </c>
      <c r="F376" s="16">
        <f>IF(E376="","",$L$6+$L$5*D376)</f>
        <v/>
      </c>
      <c r="G376" s="16">
        <f>IF(E376="","",E376-F376)</f>
        <v/>
      </c>
      <c r="H376" s="16">
        <f>IF(E376="","",F376+INDEX($L$9:$L$15,C376))</f>
        <v/>
      </c>
      <c r="I376" s="16">
        <f>IF(E376="","",E376-H376)</f>
        <v/>
      </c>
    </row>
    <row r="377">
      <c r="A377" s="5" t="n"/>
      <c r="B377" s="7" t="n"/>
      <c r="C377">
        <f>IF(A377="","",WEEKDAY(A377,2))</f>
        <v/>
      </c>
      <c r="D377">
        <f>IF(A377="","",A377-MIN($A$5:$A$400)+1)</f>
        <v/>
      </c>
      <c r="E377" s="16">
        <f>IF(OR(A377="",B377&lt;=0),"",LN(B377))</f>
        <v/>
      </c>
      <c r="F377" s="16">
        <f>IF(E377="","",$L$6+$L$5*D377)</f>
        <v/>
      </c>
      <c r="G377" s="16">
        <f>IF(E377="","",E377-F377)</f>
        <v/>
      </c>
      <c r="H377" s="16">
        <f>IF(E377="","",F377+INDEX($L$9:$L$15,C377))</f>
        <v/>
      </c>
      <c r="I377" s="16">
        <f>IF(E377="","",E377-H377)</f>
        <v/>
      </c>
    </row>
    <row r="378">
      <c r="A378" s="5" t="n"/>
      <c r="B378" s="7" t="n"/>
      <c r="C378">
        <f>IF(A378="","",WEEKDAY(A378,2))</f>
        <v/>
      </c>
      <c r="D378">
        <f>IF(A378="","",A378-MIN($A$5:$A$400)+1)</f>
        <v/>
      </c>
      <c r="E378" s="16">
        <f>IF(OR(A378="",B378&lt;=0),"",LN(B378))</f>
        <v/>
      </c>
      <c r="F378" s="16">
        <f>IF(E378="","",$L$6+$L$5*D378)</f>
        <v/>
      </c>
      <c r="G378" s="16">
        <f>IF(E378="","",E378-F378)</f>
        <v/>
      </c>
      <c r="H378" s="16">
        <f>IF(E378="","",F378+INDEX($L$9:$L$15,C378))</f>
        <v/>
      </c>
      <c r="I378" s="16">
        <f>IF(E378="","",E378-H378)</f>
        <v/>
      </c>
    </row>
    <row r="379">
      <c r="A379" s="5" t="n"/>
      <c r="B379" s="7" t="n"/>
      <c r="C379">
        <f>IF(A379="","",WEEKDAY(A379,2))</f>
        <v/>
      </c>
      <c r="D379">
        <f>IF(A379="","",A379-MIN($A$5:$A$400)+1)</f>
        <v/>
      </c>
      <c r="E379" s="16">
        <f>IF(OR(A379="",B379&lt;=0),"",LN(B379))</f>
        <v/>
      </c>
      <c r="F379" s="16">
        <f>IF(E379="","",$L$6+$L$5*D379)</f>
        <v/>
      </c>
      <c r="G379" s="16">
        <f>IF(E379="","",E379-F379)</f>
        <v/>
      </c>
      <c r="H379" s="16">
        <f>IF(E379="","",F379+INDEX($L$9:$L$15,C379))</f>
        <v/>
      </c>
      <c r="I379" s="16">
        <f>IF(E379="","",E379-H379)</f>
        <v/>
      </c>
    </row>
    <row r="380">
      <c r="A380" s="5" t="n"/>
      <c r="B380" s="7" t="n"/>
      <c r="C380">
        <f>IF(A380="","",WEEKDAY(A380,2))</f>
        <v/>
      </c>
      <c r="D380">
        <f>IF(A380="","",A380-MIN($A$5:$A$400)+1)</f>
        <v/>
      </c>
      <c r="E380" s="16">
        <f>IF(OR(A380="",B380&lt;=0),"",LN(B380))</f>
        <v/>
      </c>
      <c r="F380" s="16">
        <f>IF(E380="","",$L$6+$L$5*D380)</f>
        <v/>
      </c>
      <c r="G380" s="16">
        <f>IF(E380="","",E380-F380)</f>
        <v/>
      </c>
      <c r="H380" s="16">
        <f>IF(E380="","",F380+INDEX($L$9:$L$15,C380))</f>
        <v/>
      </c>
      <c r="I380" s="16">
        <f>IF(E380="","",E380-H380)</f>
        <v/>
      </c>
    </row>
    <row r="381">
      <c r="A381" s="5" t="n"/>
      <c r="B381" s="7" t="n"/>
      <c r="C381">
        <f>IF(A381="","",WEEKDAY(A381,2))</f>
        <v/>
      </c>
      <c r="D381">
        <f>IF(A381="","",A381-MIN($A$5:$A$400)+1)</f>
        <v/>
      </c>
      <c r="E381" s="16">
        <f>IF(OR(A381="",B381&lt;=0),"",LN(B381))</f>
        <v/>
      </c>
      <c r="F381" s="16">
        <f>IF(E381="","",$L$6+$L$5*D381)</f>
        <v/>
      </c>
      <c r="G381" s="16">
        <f>IF(E381="","",E381-F381)</f>
        <v/>
      </c>
      <c r="H381" s="16">
        <f>IF(E381="","",F381+INDEX($L$9:$L$15,C381))</f>
        <v/>
      </c>
      <c r="I381" s="16">
        <f>IF(E381="","",E381-H381)</f>
        <v/>
      </c>
    </row>
    <row r="382">
      <c r="A382" s="5" t="n"/>
      <c r="B382" s="7" t="n"/>
      <c r="C382">
        <f>IF(A382="","",WEEKDAY(A382,2))</f>
        <v/>
      </c>
      <c r="D382">
        <f>IF(A382="","",A382-MIN($A$5:$A$400)+1)</f>
        <v/>
      </c>
      <c r="E382" s="16">
        <f>IF(OR(A382="",B382&lt;=0),"",LN(B382))</f>
        <v/>
      </c>
      <c r="F382" s="16">
        <f>IF(E382="","",$L$6+$L$5*D382)</f>
        <v/>
      </c>
      <c r="G382" s="16">
        <f>IF(E382="","",E382-F382)</f>
        <v/>
      </c>
      <c r="H382" s="16">
        <f>IF(E382="","",F382+INDEX($L$9:$L$15,C382))</f>
        <v/>
      </c>
      <c r="I382" s="16">
        <f>IF(E382="","",E382-H382)</f>
        <v/>
      </c>
    </row>
    <row r="383">
      <c r="A383" s="5" t="n"/>
      <c r="B383" s="7" t="n"/>
      <c r="C383">
        <f>IF(A383="","",WEEKDAY(A383,2))</f>
        <v/>
      </c>
      <c r="D383">
        <f>IF(A383="","",A383-MIN($A$5:$A$400)+1)</f>
        <v/>
      </c>
      <c r="E383" s="16">
        <f>IF(OR(A383="",B383&lt;=0),"",LN(B383))</f>
        <v/>
      </c>
      <c r="F383" s="16">
        <f>IF(E383="","",$L$6+$L$5*D383)</f>
        <v/>
      </c>
      <c r="G383" s="16">
        <f>IF(E383="","",E383-F383)</f>
        <v/>
      </c>
      <c r="H383" s="16">
        <f>IF(E383="","",F383+INDEX($L$9:$L$15,C383))</f>
        <v/>
      </c>
      <c r="I383" s="16">
        <f>IF(E383="","",E383-H383)</f>
        <v/>
      </c>
    </row>
    <row r="384">
      <c r="A384" s="5" t="n"/>
      <c r="B384" s="7" t="n"/>
      <c r="C384">
        <f>IF(A384="","",WEEKDAY(A384,2))</f>
        <v/>
      </c>
      <c r="D384">
        <f>IF(A384="","",A384-MIN($A$5:$A$400)+1)</f>
        <v/>
      </c>
      <c r="E384" s="16">
        <f>IF(OR(A384="",B384&lt;=0),"",LN(B384))</f>
        <v/>
      </c>
      <c r="F384" s="16">
        <f>IF(E384="","",$L$6+$L$5*D384)</f>
        <v/>
      </c>
      <c r="G384" s="16">
        <f>IF(E384="","",E384-F384)</f>
        <v/>
      </c>
      <c r="H384" s="16">
        <f>IF(E384="","",F384+INDEX($L$9:$L$15,C384))</f>
        <v/>
      </c>
      <c r="I384" s="16">
        <f>IF(E384="","",E384-H384)</f>
        <v/>
      </c>
    </row>
    <row r="385">
      <c r="A385" s="5" t="n"/>
      <c r="B385" s="7" t="n"/>
      <c r="C385">
        <f>IF(A385="","",WEEKDAY(A385,2))</f>
        <v/>
      </c>
      <c r="D385">
        <f>IF(A385="","",A385-MIN($A$5:$A$400)+1)</f>
        <v/>
      </c>
      <c r="E385" s="16">
        <f>IF(OR(A385="",B385&lt;=0),"",LN(B385))</f>
        <v/>
      </c>
      <c r="F385" s="16">
        <f>IF(E385="","",$L$6+$L$5*D385)</f>
        <v/>
      </c>
      <c r="G385" s="16">
        <f>IF(E385="","",E385-F385)</f>
        <v/>
      </c>
      <c r="H385" s="16">
        <f>IF(E385="","",F385+INDEX($L$9:$L$15,C385))</f>
        <v/>
      </c>
      <c r="I385" s="16">
        <f>IF(E385="","",E385-H385)</f>
        <v/>
      </c>
    </row>
    <row r="386">
      <c r="A386" s="5" t="n"/>
      <c r="B386" s="7" t="n"/>
      <c r="C386">
        <f>IF(A386="","",WEEKDAY(A386,2))</f>
        <v/>
      </c>
      <c r="D386">
        <f>IF(A386="","",A386-MIN($A$5:$A$400)+1)</f>
        <v/>
      </c>
      <c r="E386" s="16">
        <f>IF(OR(A386="",B386&lt;=0),"",LN(B386))</f>
        <v/>
      </c>
      <c r="F386" s="16">
        <f>IF(E386="","",$L$6+$L$5*D386)</f>
        <v/>
      </c>
      <c r="G386" s="16">
        <f>IF(E386="","",E386-F386)</f>
        <v/>
      </c>
      <c r="H386" s="16">
        <f>IF(E386="","",F386+INDEX($L$9:$L$15,C386))</f>
        <v/>
      </c>
      <c r="I386" s="16">
        <f>IF(E386="","",E386-H386)</f>
        <v/>
      </c>
    </row>
    <row r="387">
      <c r="A387" s="5" t="n"/>
      <c r="B387" s="7" t="n"/>
      <c r="C387">
        <f>IF(A387="","",WEEKDAY(A387,2))</f>
        <v/>
      </c>
      <c r="D387">
        <f>IF(A387="","",A387-MIN($A$5:$A$400)+1)</f>
        <v/>
      </c>
      <c r="E387" s="16">
        <f>IF(OR(A387="",B387&lt;=0),"",LN(B387))</f>
        <v/>
      </c>
      <c r="F387" s="16">
        <f>IF(E387="","",$L$6+$L$5*D387)</f>
        <v/>
      </c>
      <c r="G387" s="16">
        <f>IF(E387="","",E387-F387)</f>
        <v/>
      </c>
      <c r="H387" s="16">
        <f>IF(E387="","",F387+INDEX($L$9:$L$15,C387))</f>
        <v/>
      </c>
      <c r="I387" s="16">
        <f>IF(E387="","",E387-H387)</f>
        <v/>
      </c>
    </row>
    <row r="388">
      <c r="A388" s="5" t="n"/>
      <c r="B388" s="7" t="n"/>
      <c r="C388">
        <f>IF(A388="","",WEEKDAY(A388,2))</f>
        <v/>
      </c>
      <c r="D388">
        <f>IF(A388="","",A388-MIN($A$5:$A$400)+1)</f>
        <v/>
      </c>
      <c r="E388" s="16">
        <f>IF(OR(A388="",B388&lt;=0),"",LN(B388))</f>
        <v/>
      </c>
      <c r="F388" s="16">
        <f>IF(E388="","",$L$6+$L$5*D388)</f>
        <v/>
      </c>
      <c r="G388" s="16">
        <f>IF(E388="","",E388-F388)</f>
        <v/>
      </c>
      <c r="H388" s="16">
        <f>IF(E388="","",F388+INDEX($L$9:$L$15,C388))</f>
        <v/>
      </c>
      <c r="I388" s="16">
        <f>IF(E388="","",E388-H388)</f>
        <v/>
      </c>
    </row>
    <row r="389">
      <c r="A389" s="5" t="n"/>
      <c r="B389" s="7" t="n"/>
      <c r="C389">
        <f>IF(A389="","",WEEKDAY(A389,2))</f>
        <v/>
      </c>
      <c r="D389">
        <f>IF(A389="","",A389-MIN($A$5:$A$400)+1)</f>
        <v/>
      </c>
      <c r="E389" s="16">
        <f>IF(OR(A389="",B389&lt;=0),"",LN(B389))</f>
        <v/>
      </c>
      <c r="F389" s="16">
        <f>IF(E389="","",$L$6+$L$5*D389)</f>
        <v/>
      </c>
      <c r="G389" s="16">
        <f>IF(E389="","",E389-F389)</f>
        <v/>
      </c>
      <c r="H389" s="16">
        <f>IF(E389="","",F389+INDEX($L$9:$L$15,C389))</f>
        <v/>
      </c>
      <c r="I389" s="16">
        <f>IF(E389="","",E389-H389)</f>
        <v/>
      </c>
    </row>
    <row r="390">
      <c r="A390" s="5" t="n"/>
      <c r="B390" s="7" t="n"/>
      <c r="C390">
        <f>IF(A390="","",WEEKDAY(A390,2))</f>
        <v/>
      </c>
      <c r="D390">
        <f>IF(A390="","",A390-MIN($A$5:$A$400)+1)</f>
        <v/>
      </c>
      <c r="E390" s="16">
        <f>IF(OR(A390="",B390&lt;=0),"",LN(B390))</f>
        <v/>
      </c>
      <c r="F390" s="16">
        <f>IF(E390="","",$L$6+$L$5*D390)</f>
        <v/>
      </c>
      <c r="G390" s="16">
        <f>IF(E390="","",E390-F390)</f>
        <v/>
      </c>
      <c r="H390" s="16">
        <f>IF(E390="","",F390+INDEX($L$9:$L$15,C390))</f>
        <v/>
      </c>
      <c r="I390" s="16">
        <f>IF(E390="","",E390-H390)</f>
        <v/>
      </c>
    </row>
    <row r="391">
      <c r="A391" s="5" t="n"/>
      <c r="B391" s="7" t="n"/>
      <c r="C391">
        <f>IF(A391="","",WEEKDAY(A391,2))</f>
        <v/>
      </c>
      <c r="D391">
        <f>IF(A391="","",A391-MIN($A$5:$A$400)+1)</f>
        <v/>
      </c>
      <c r="E391" s="16">
        <f>IF(OR(A391="",B391&lt;=0),"",LN(B391))</f>
        <v/>
      </c>
      <c r="F391" s="16">
        <f>IF(E391="","",$L$6+$L$5*D391)</f>
        <v/>
      </c>
      <c r="G391" s="16">
        <f>IF(E391="","",E391-F391)</f>
        <v/>
      </c>
      <c r="H391" s="16">
        <f>IF(E391="","",F391+INDEX($L$9:$L$15,C391))</f>
        <v/>
      </c>
      <c r="I391" s="16">
        <f>IF(E391="","",E391-H391)</f>
        <v/>
      </c>
    </row>
    <row r="392">
      <c r="A392" s="5" t="n"/>
      <c r="B392" s="7" t="n"/>
      <c r="C392">
        <f>IF(A392="","",WEEKDAY(A392,2))</f>
        <v/>
      </c>
      <c r="D392">
        <f>IF(A392="","",A392-MIN($A$5:$A$400)+1)</f>
        <v/>
      </c>
      <c r="E392" s="16">
        <f>IF(OR(A392="",B392&lt;=0),"",LN(B392))</f>
        <v/>
      </c>
      <c r="F392" s="16">
        <f>IF(E392="","",$L$6+$L$5*D392)</f>
        <v/>
      </c>
      <c r="G392" s="16">
        <f>IF(E392="","",E392-F392)</f>
        <v/>
      </c>
      <c r="H392" s="16">
        <f>IF(E392="","",F392+INDEX($L$9:$L$15,C392))</f>
        <v/>
      </c>
      <c r="I392" s="16">
        <f>IF(E392="","",E392-H392)</f>
        <v/>
      </c>
    </row>
    <row r="393">
      <c r="A393" s="5" t="n"/>
      <c r="B393" s="7" t="n"/>
      <c r="C393">
        <f>IF(A393="","",WEEKDAY(A393,2))</f>
        <v/>
      </c>
      <c r="D393">
        <f>IF(A393="","",A393-MIN($A$5:$A$400)+1)</f>
        <v/>
      </c>
      <c r="E393" s="16">
        <f>IF(OR(A393="",B393&lt;=0),"",LN(B393))</f>
        <v/>
      </c>
      <c r="F393" s="16">
        <f>IF(E393="","",$L$6+$L$5*D393)</f>
        <v/>
      </c>
      <c r="G393" s="16">
        <f>IF(E393="","",E393-F393)</f>
        <v/>
      </c>
      <c r="H393" s="16">
        <f>IF(E393="","",F393+INDEX($L$9:$L$15,C393))</f>
        <v/>
      </c>
      <c r="I393" s="16">
        <f>IF(E393="","",E393-H393)</f>
        <v/>
      </c>
    </row>
    <row r="394">
      <c r="A394" s="5" t="n"/>
      <c r="B394" s="7" t="n"/>
      <c r="C394">
        <f>IF(A394="","",WEEKDAY(A394,2))</f>
        <v/>
      </c>
      <c r="D394">
        <f>IF(A394="","",A394-MIN($A$5:$A$400)+1)</f>
        <v/>
      </c>
      <c r="E394" s="16">
        <f>IF(OR(A394="",B394&lt;=0),"",LN(B394))</f>
        <v/>
      </c>
      <c r="F394" s="16">
        <f>IF(E394="","",$L$6+$L$5*D394)</f>
        <v/>
      </c>
      <c r="G394" s="16">
        <f>IF(E394="","",E394-F394)</f>
        <v/>
      </c>
      <c r="H394" s="16">
        <f>IF(E394="","",F394+INDEX($L$9:$L$15,C394))</f>
        <v/>
      </c>
      <c r="I394" s="16">
        <f>IF(E394="","",E394-H394)</f>
        <v/>
      </c>
    </row>
    <row r="395">
      <c r="A395" s="5" t="n"/>
      <c r="B395" s="7" t="n"/>
      <c r="C395">
        <f>IF(A395="","",WEEKDAY(A395,2))</f>
        <v/>
      </c>
      <c r="D395">
        <f>IF(A395="","",A395-MIN($A$5:$A$400)+1)</f>
        <v/>
      </c>
      <c r="E395" s="16">
        <f>IF(OR(A395="",B395&lt;=0),"",LN(B395))</f>
        <v/>
      </c>
      <c r="F395" s="16">
        <f>IF(E395="","",$L$6+$L$5*D395)</f>
        <v/>
      </c>
      <c r="G395" s="16">
        <f>IF(E395="","",E395-F395)</f>
        <v/>
      </c>
      <c r="H395" s="16">
        <f>IF(E395="","",F395+INDEX($L$9:$L$15,C395))</f>
        <v/>
      </c>
      <c r="I395" s="16">
        <f>IF(E395="","",E395-H395)</f>
        <v/>
      </c>
    </row>
    <row r="396">
      <c r="A396" s="5" t="n"/>
      <c r="B396" s="7" t="n"/>
      <c r="C396">
        <f>IF(A396="","",WEEKDAY(A396,2))</f>
        <v/>
      </c>
      <c r="D396">
        <f>IF(A396="","",A396-MIN($A$5:$A$400)+1)</f>
        <v/>
      </c>
      <c r="E396" s="16">
        <f>IF(OR(A396="",B396&lt;=0),"",LN(B396))</f>
        <v/>
      </c>
      <c r="F396" s="16">
        <f>IF(E396="","",$L$6+$L$5*D396)</f>
        <v/>
      </c>
      <c r="G396" s="16">
        <f>IF(E396="","",E396-F396)</f>
        <v/>
      </c>
      <c r="H396" s="16">
        <f>IF(E396="","",F396+INDEX($L$9:$L$15,C396))</f>
        <v/>
      </c>
      <c r="I396" s="16">
        <f>IF(E396="","",E396-H396)</f>
        <v/>
      </c>
    </row>
    <row r="397">
      <c r="A397" s="5" t="n"/>
      <c r="B397" s="7" t="n"/>
      <c r="C397">
        <f>IF(A397="","",WEEKDAY(A397,2))</f>
        <v/>
      </c>
      <c r="D397">
        <f>IF(A397="","",A397-MIN($A$5:$A$400)+1)</f>
        <v/>
      </c>
      <c r="E397" s="16">
        <f>IF(OR(A397="",B397&lt;=0),"",LN(B397))</f>
        <v/>
      </c>
      <c r="F397" s="16">
        <f>IF(E397="","",$L$6+$L$5*D397)</f>
        <v/>
      </c>
      <c r="G397" s="16">
        <f>IF(E397="","",E397-F397)</f>
        <v/>
      </c>
      <c r="H397" s="16">
        <f>IF(E397="","",F397+INDEX($L$9:$L$15,C397))</f>
        <v/>
      </c>
      <c r="I397" s="16">
        <f>IF(E397="","",E397-H397)</f>
        <v/>
      </c>
    </row>
    <row r="398">
      <c r="A398" s="5" t="n"/>
      <c r="B398" s="7" t="n"/>
      <c r="C398">
        <f>IF(A398="","",WEEKDAY(A398,2))</f>
        <v/>
      </c>
      <c r="D398">
        <f>IF(A398="","",A398-MIN($A$5:$A$400)+1)</f>
        <v/>
      </c>
      <c r="E398" s="16">
        <f>IF(OR(A398="",B398&lt;=0),"",LN(B398))</f>
        <v/>
      </c>
      <c r="F398" s="16">
        <f>IF(E398="","",$L$6+$L$5*D398)</f>
        <v/>
      </c>
      <c r="G398" s="16">
        <f>IF(E398="","",E398-F398)</f>
        <v/>
      </c>
      <c r="H398" s="16">
        <f>IF(E398="","",F398+INDEX($L$9:$L$15,C398))</f>
        <v/>
      </c>
      <c r="I398" s="16">
        <f>IF(E398="","",E398-H398)</f>
        <v/>
      </c>
    </row>
    <row r="399">
      <c r="A399" s="5" t="n"/>
      <c r="B399" s="7" t="n"/>
      <c r="C399">
        <f>IF(A399="","",WEEKDAY(A399,2))</f>
        <v/>
      </c>
      <c r="D399">
        <f>IF(A399="","",A399-MIN($A$5:$A$400)+1)</f>
        <v/>
      </c>
      <c r="E399" s="16">
        <f>IF(OR(A399="",B399&lt;=0),"",LN(B399))</f>
        <v/>
      </c>
      <c r="F399" s="16">
        <f>IF(E399="","",$L$6+$L$5*D399)</f>
        <v/>
      </c>
      <c r="G399" s="16">
        <f>IF(E399="","",E399-F399)</f>
        <v/>
      </c>
      <c r="H399" s="16">
        <f>IF(E399="","",F399+INDEX($L$9:$L$15,C399))</f>
        <v/>
      </c>
      <c r="I399" s="16">
        <f>IF(E399="","",E399-H399)</f>
        <v/>
      </c>
    </row>
    <row r="400">
      <c r="A400" s="5" t="n"/>
      <c r="B400" s="7" t="n"/>
      <c r="C400">
        <f>IF(A400="","",WEEKDAY(A400,2))</f>
        <v/>
      </c>
      <c r="D400">
        <f>IF(A400="","",A400-MIN($A$5:$A$400)+1)</f>
        <v/>
      </c>
      <c r="E400" s="16">
        <f>IF(OR(A400="",B400&lt;=0),"",LN(B400))</f>
        <v/>
      </c>
      <c r="F400" s="16">
        <f>IF(E400="","",$L$6+$L$5*D400)</f>
        <v/>
      </c>
      <c r="G400" s="16">
        <f>IF(E400="","",E400-F400)</f>
        <v/>
      </c>
      <c r="H400" s="16">
        <f>IF(E400="","",F400+INDEX($L$9:$L$15,C400))</f>
        <v/>
      </c>
      <c r="I400" s="16">
        <f>IF(E400="","",E400-H400)</f>
        <v/>
      </c>
    </row>
  </sheetData>
  <mergeCells count="4">
    <mergeCell ref="K64:N64"/>
    <mergeCell ref="K66:N66"/>
    <mergeCell ref="K65:N65"/>
    <mergeCell ref="K23:L26"/>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2026-10-21T08:15:52Z</dcterms:created>
  <dcterms:modified xsi:type="dcterms:W3CDTF">2026-10-21T08:15:52Z</dcterms:modified>
</cp:coreProperties>
</file>